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nderson\Desktop\CFO\GASB 68\Base Plan\"/>
    </mc:Choice>
  </mc:AlternateContent>
  <xr:revisionPtr revIDLastSave="0" documentId="13_ncr:1_{F6F75EB6-6272-4699-82C1-2D1C3B83961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put" sheetId="7" r:id="rId1"/>
    <sheet name="JE's" sheetId="6" r:id="rId2"/>
    <sheet name="T-Account Illustration" sheetId="8" r:id="rId3"/>
    <sheet name="Amort Schedule-Balances-Pen Exp" sheetId="1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3" l="1"/>
  <c r="A78" i="13"/>
  <c r="N56" i="13"/>
  <c r="N57" i="13"/>
  <c r="N59" i="13" s="1"/>
  <c r="Q59" i="13" s="1"/>
  <c r="N58" i="13"/>
  <c r="N55" i="13"/>
  <c r="O55" i="13" s="1"/>
  <c r="O56" i="13" s="1"/>
  <c r="O57" i="13" s="1"/>
  <c r="O58" i="13" s="1"/>
  <c r="L54" i="13"/>
  <c r="N37" i="13"/>
  <c r="N38" i="13"/>
  <c r="N39" i="13"/>
  <c r="N36" i="13"/>
  <c r="O36" i="13" s="1"/>
  <c r="L35" i="13"/>
  <c r="M35" i="13" s="1"/>
  <c r="L14" i="13"/>
  <c r="M14" i="13" s="1"/>
  <c r="N16" i="13"/>
  <c r="N75" i="13" s="1"/>
  <c r="N17" i="13"/>
  <c r="N18" i="13"/>
  <c r="N77" i="13" s="1"/>
  <c r="N19" i="13"/>
  <c r="Q19" i="13" s="1"/>
  <c r="N15" i="13"/>
  <c r="O15" i="13" s="1"/>
  <c r="E38" i="7"/>
  <c r="I38" i="7" s="1"/>
  <c r="O37" i="13" l="1"/>
  <c r="O38" i="13" s="1"/>
  <c r="O39" i="13" s="1"/>
  <c r="S39" i="13" s="1"/>
  <c r="N76" i="13"/>
  <c r="O16" i="13"/>
  <c r="O17" i="13" s="1"/>
  <c r="O18" i="13" s="1"/>
  <c r="O19" i="13" s="1"/>
  <c r="S19" i="13" s="1"/>
  <c r="O59" i="13"/>
  <c r="S59" i="13" s="1"/>
  <c r="N60" i="13"/>
  <c r="N21" i="13"/>
  <c r="N40" i="13"/>
  <c r="Q40" i="13" s="1"/>
  <c r="B68" i="13" s="1"/>
  <c r="N41" i="13"/>
  <c r="G38" i="7"/>
  <c r="K38" i="7" s="1"/>
  <c r="N78" i="13" l="1"/>
  <c r="P78" i="13" s="1"/>
  <c r="O40" i="13"/>
  <c r="S40" i="13" s="1"/>
  <c r="O38" i="7"/>
  <c r="M38" i="7"/>
  <c r="A76" i="13" l="1"/>
  <c r="A77" i="13" s="1"/>
  <c r="A66" i="13"/>
  <c r="A67" i="13" s="1"/>
  <c r="A50" i="13"/>
  <c r="A51" i="13" s="1"/>
  <c r="A52" i="13" s="1"/>
  <c r="A53" i="13" s="1"/>
  <c r="A54" i="13" s="1"/>
  <c r="A55" i="13" s="1"/>
  <c r="A56" i="13" s="1"/>
  <c r="A57" i="13" s="1"/>
  <c r="A58" i="13" s="1"/>
  <c r="A31" i="13"/>
  <c r="A32" i="13" s="1"/>
  <c r="A33" i="13" s="1"/>
  <c r="A34" i="13" s="1"/>
  <c r="A35" i="13" s="1"/>
  <c r="A36" i="13" s="1"/>
  <c r="A37" i="13" s="1"/>
  <c r="A38" i="13" s="1"/>
  <c r="A39" i="13" s="1"/>
  <c r="A10" i="13"/>
  <c r="A11" i="13" s="1"/>
  <c r="A12" i="13" s="1"/>
  <c r="A13" i="13" s="1"/>
  <c r="A14" i="13" s="1"/>
  <c r="A15" i="13" s="1"/>
  <c r="A16" i="13" s="1"/>
  <c r="A17" i="13" s="1"/>
  <c r="A18" i="13" s="1"/>
  <c r="E41" i="7" l="1"/>
  <c r="E42" i="7" l="1"/>
  <c r="E40" i="7"/>
  <c r="J77" i="13" l="1"/>
  <c r="H76" i="13"/>
  <c r="F75" i="13"/>
  <c r="H53" i="13"/>
  <c r="H54" i="13"/>
  <c r="H55" i="13"/>
  <c r="H52" i="13"/>
  <c r="I52" i="13" s="1"/>
  <c r="D53" i="13"/>
  <c r="D52" i="13"/>
  <c r="D51" i="13"/>
  <c r="D50" i="13"/>
  <c r="E50" i="13" s="1"/>
  <c r="L38" i="13"/>
  <c r="J37" i="13"/>
  <c r="H34" i="13"/>
  <c r="H35" i="13"/>
  <c r="H36" i="13"/>
  <c r="F35" i="13"/>
  <c r="D31" i="13"/>
  <c r="E31" i="13" s="1"/>
  <c r="D32" i="13"/>
  <c r="D33" i="13"/>
  <c r="D34" i="13"/>
  <c r="B33" i="13"/>
  <c r="L18" i="13"/>
  <c r="J17" i="13"/>
  <c r="J16" i="13"/>
  <c r="J15" i="13"/>
  <c r="J14" i="13"/>
  <c r="J13" i="13"/>
  <c r="K13" i="13" s="1"/>
  <c r="H16" i="13"/>
  <c r="H15" i="13"/>
  <c r="H14" i="13"/>
  <c r="H13" i="13"/>
  <c r="H12" i="13"/>
  <c r="F15" i="13"/>
  <c r="F14" i="13"/>
  <c r="F13" i="13"/>
  <c r="F12" i="13"/>
  <c r="F11" i="13"/>
  <c r="D14" i="13"/>
  <c r="D13" i="13"/>
  <c r="D12" i="13"/>
  <c r="D11" i="13"/>
  <c r="D10" i="13"/>
  <c r="E10" i="13" s="1"/>
  <c r="B9" i="13"/>
  <c r="Q9" i="13" s="1"/>
  <c r="E11" i="13" l="1"/>
  <c r="E12" i="13" s="1"/>
  <c r="E13" i="13" s="1"/>
  <c r="Q18" i="13"/>
  <c r="E51" i="13"/>
  <c r="E52" i="13" s="1"/>
  <c r="E53" i="13" s="1"/>
  <c r="D35" i="13"/>
  <c r="H56" i="13"/>
  <c r="I53" i="13"/>
  <c r="I54" i="13" s="1"/>
  <c r="I55" i="13" s="1"/>
  <c r="I56" i="13" s="1"/>
  <c r="D54" i="13"/>
  <c r="B10" i="13"/>
  <c r="Q10" i="13" s="1"/>
  <c r="B11" i="13"/>
  <c r="Q11" i="13" s="1"/>
  <c r="B12" i="13"/>
  <c r="B13" i="13"/>
  <c r="F21" i="13"/>
  <c r="J21" i="13"/>
  <c r="K14" i="13"/>
  <c r="K15" i="13" s="1"/>
  <c r="H21" i="13"/>
  <c r="I12" i="13"/>
  <c r="I13" i="13" s="1"/>
  <c r="I14" i="13" s="1"/>
  <c r="G11" i="13"/>
  <c r="G12" i="13" s="1"/>
  <c r="G13" i="13" s="1"/>
  <c r="G14" i="13" s="1"/>
  <c r="G15" i="13" s="1"/>
  <c r="D21" i="13"/>
  <c r="C9" i="13"/>
  <c r="S9" i="13" s="1"/>
  <c r="S14" i="13" l="1"/>
  <c r="E54" i="13"/>
  <c r="C10" i="13"/>
  <c r="C11" i="13" s="1"/>
  <c r="C12" i="13" s="1"/>
  <c r="C13" i="13" s="1"/>
  <c r="B21" i="13"/>
  <c r="I15" i="13"/>
  <c r="I16" i="13" s="1"/>
  <c r="E14" i="13"/>
  <c r="S13" i="13"/>
  <c r="K16" i="13"/>
  <c r="K17" i="13" s="1"/>
  <c r="L17" i="13" l="1"/>
  <c r="Q17" i="13" l="1"/>
  <c r="J54" i="13"/>
  <c r="J55" i="13"/>
  <c r="J56" i="13"/>
  <c r="J53" i="13"/>
  <c r="J34" i="13"/>
  <c r="K34" i="13" s="1"/>
  <c r="J35" i="13"/>
  <c r="J36" i="13"/>
  <c r="K53" i="13" l="1"/>
  <c r="K54" i="13" s="1"/>
  <c r="K55" i="13" s="1"/>
  <c r="K56" i="13" s="1"/>
  <c r="J75" i="13"/>
  <c r="K35" i="13"/>
  <c r="K36" i="13" s="1"/>
  <c r="J57" i="13"/>
  <c r="J60" i="13" l="1"/>
  <c r="K57" i="13"/>
  <c r="K37" i="13"/>
  <c r="J38" i="13"/>
  <c r="Q38" i="13" s="1"/>
  <c r="K38" i="13" l="1"/>
  <c r="J76" i="13"/>
  <c r="J41" i="13"/>
  <c r="E39" i="7"/>
  <c r="G39" i="7" s="1"/>
  <c r="K17" i="7" l="1"/>
  <c r="G20" i="6" l="1"/>
  <c r="B38" i="8" s="1"/>
  <c r="H20" i="6"/>
  <c r="G38" i="8" s="1"/>
  <c r="L23" i="8" l="1"/>
  <c r="C38" i="8"/>
  <c r="I25" i="7"/>
  <c r="K23" i="7"/>
  <c r="I20" i="7"/>
  <c r="I28" i="7" l="1"/>
  <c r="H16" i="6" l="1"/>
  <c r="C26" i="8" s="1"/>
  <c r="G16" i="6"/>
  <c r="B26" i="8" s="1"/>
  <c r="D75" i="13"/>
  <c r="C23" i="8" l="1"/>
  <c r="D60" i="13" l="1"/>
  <c r="L57" i="13"/>
  <c r="L56" i="13"/>
  <c r="Q56" i="13" s="1"/>
  <c r="L55" i="13"/>
  <c r="M54" i="13"/>
  <c r="F54" i="13"/>
  <c r="F53" i="13"/>
  <c r="F52" i="13"/>
  <c r="F51" i="13"/>
  <c r="G51" i="13" s="1"/>
  <c r="B50" i="13"/>
  <c r="Q50" i="13" s="1"/>
  <c r="L37" i="13"/>
  <c r="L36" i="13"/>
  <c r="F34" i="13"/>
  <c r="H33" i="13"/>
  <c r="F33" i="13"/>
  <c r="F32" i="13"/>
  <c r="L16" i="13"/>
  <c r="Q16" i="13" s="1"/>
  <c r="L15" i="13"/>
  <c r="Q14" i="13"/>
  <c r="Q57" i="13" l="1"/>
  <c r="B66" i="13" s="1"/>
  <c r="L76" i="13"/>
  <c r="L39" i="13"/>
  <c r="L41" i="13" s="1"/>
  <c r="Q15" i="13"/>
  <c r="M55" i="13"/>
  <c r="I33" i="13"/>
  <c r="I34" i="13" s="1"/>
  <c r="I35" i="13" s="1"/>
  <c r="H37" i="13"/>
  <c r="H75" i="13" s="1"/>
  <c r="P76" i="13"/>
  <c r="M36" i="13"/>
  <c r="L75" i="13"/>
  <c r="F36" i="13"/>
  <c r="G32" i="13"/>
  <c r="G33" i="13" s="1"/>
  <c r="G34" i="13" s="1"/>
  <c r="G35" i="13" s="1"/>
  <c r="L21" i="13"/>
  <c r="G52" i="13"/>
  <c r="G53" i="13" s="1"/>
  <c r="G54" i="13" s="1"/>
  <c r="S54" i="13" s="1"/>
  <c r="Q33" i="13"/>
  <c r="L58" i="13"/>
  <c r="Q58" i="13" s="1"/>
  <c r="B31" i="13"/>
  <c r="B32" i="13"/>
  <c r="B30" i="13"/>
  <c r="H60" i="13"/>
  <c r="B52" i="13"/>
  <c r="Q52" i="13" s="1"/>
  <c r="B49" i="13"/>
  <c r="B51" i="13"/>
  <c r="Q51" i="13" s="1"/>
  <c r="F55" i="13"/>
  <c r="Q55" i="13" s="1"/>
  <c r="Q39" i="13" l="1"/>
  <c r="L77" i="13"/>
  <c r="Q36" i="13"/>
  <c r="D1" i="13" s="1"/>
  <c r="M56" i="13"/>
  <c r="S56" i="13" s="1"/>
  <c r="S55" i="13"/>
  <c r="Q37" i="13"/>
  <c r="B65" i="13" s="1"/>
  <c r="P75" i="13"/>
  <c r="L60" i="13"/>
  <c r="M15" i="13"/>
  <c r="C49" i="13"/>
  <c r="C50" i="13" s="1"/>
  <c r="C51" i="13" s="1"/>
  <c r="B53" i="13"/>
  <c r="Q53" i="13" s="1"/>
  <c r="B34" i="13"/>
  <c r="I36" i="13"/>
  <c r="I37" i="13" s="1"/>
  <c r="S37" i="13" s="1"/>
  <c r="S35" i="13"/>
  <c r="C30" i="13"/>
  <c r="Q35" i="13"/>
  <c r="P77" i="13"/>
  <c r="M37" i="13"/>
  <c r="M38" i="13" s="1"/>
  <c r="G36" i="13"/>
  <c r="H41" i="13"/>
  <c r="Q32" i="13"/>
  <c r="F41" i="13"/>
  <c r="Q13" i="13"/>
  <c r="D41" i="13"/>
  <c r="Q12" i="13"/>
  <c r="Q31" i="13"/>
  <c r="Q54" i="13"/>
  <c r="Q49" i="13"/>
  <c r="E32" i="13"/>
  <c r="E33" i="13" s="1"/>
  <c r="E34" i="13" s="1"/>
  <c r="Q30" i="13"/>
  <c r="F60" i="13"/>
  <c r="G55" i="13"/>
  <c r="B60" i="13" l="1"/>
  <c r="P79" i="13"/>
  <c r="Q21" i="13"/>
  <c r="M57" i="13"/>
  <c r="S57" i="13" s="1"/>
  <c r="M39" i="13"/>
  <c r="S38" i="13"/>
  <c r="S36" i="13"/>
  <c r="M16" i="13"/>
  <c r="S16" i="13" s="1"/>
  <c r="S15" i="13"/>
  <c r="Q60" i="13"/>
  <c r="S50" i="13"/>
  <c r="E35" i="13"/>
  <c r="B67" i="13"/>
  <c r="B69" i="13" s="1"/>
  <c r="C31" i="13"/>
  <c r="C32" i="13" s="1"/>
  <c r="S32" i="13" s="1"/>
  <c r="S30" i="13"/>
  <c r="S51" i="13"/>
  <c r="C52" i="13"/>
  <c r="S52" i="13" s="1"/>
  <c r="S63" i="13" l="1"/>
  <c r="M58" i="13"/>
  <c r="S58" i="13" s="1"/>
  <c r="M17" i="13"/>
  <c r="S17" i="13" s="1"/>
  <c r="S31" i="13"/>
  <c r="C33" i="13"/>
  <c r="S33" i="13" s="1"/>
  <c r="C53" i="13"/>
  <c r="S53" i="13" s="1"/>
  <c r="S10" i="13"/>
  <c r="S11" i="13"/>
  <c r="M18" i="13" l="1"/>
  <c r="S18" i="13" s="1"/>
  <c r="S12" i="13"/>
  <c r="Q34" i="13" l="1"/>
  <c r="Q41" i="13" s="1"/>
  <c r="B41" i="13"/>
  <c r="C34" i="13"/>
  <c r="S34" i="13" s="1"/>
  <c r="G42" i="8"/>
  <c r="S23" i="7" l="1"/>
  <c r="S17" i="7"/>
  <c r="I39" i="7" l="1"/>
  <c r="K39" i="7" l="1"/>
  <c r="M39" i="7" s="1"/>
  <c r="H24" i="6"/>
  <c r="H42" i="8" l="1"/>
  <c r="O39" i="7"/>
  <c r="D6" i="6"/>
  <c r="K20" i="7"/>
  <c r="B22" i="8" s="1"/>
  <c r="A20" i="7"/>
  <c r="E20" i="7"/>
  <c r="G20" i="7"/>
  <c r="M20" i="7"/>
  <c r="O20" i="7"/>
  <c r="Q20" i="7"/>
  <c r="S20" i="7"/>
  <c r="H22" i="8" s="1"/>
  <c r="U20" i="7"/>
  <c r="W20" i="7"/>
  <c r="M10" i="8" s="1"/>
  <c r="K25" i="7"/>
  <c r="S25" i="7"/>
  <c r="E25" i="7"/>
  <c r="G25" i="7"/>
  <c r="M25" i="7"/>
  <c r="O25" i="7"/>
  <c r="O28" i="7" s="1"/>
  <c r="Q25" i="7"/>
  <c r="U25" i="7"/>
  <c r="W25" i="7"/>
  <c r="I40" i="7"/>
  <c r="G41" i="7"/>
  <c r="G42" i="7"/>
  <c r="I42" i="7"/>
  <c r="E43" i="7"/>
  <c r="G43" i="7" s="1"/>
  <c r="E28" i="7" l="1"/>
  <c r="K28" i="7"/>
  <c r="G19" i="6"/>
  <c r="L22" i="8" s="1"/>
  <c r="L27" i="8" s="1"/>
  <c r="H19" i="6"/>
  <c r="M22" i="8" s="1"/>
  <c r="U28" i="7"/>
  <c r="I41" i="7"/>
  <c r="K41" i="7" s="1"/>
  <c r="G28" i="7"/>
  <c r="I43" i="7"/>
  <c r="K43" i="7" s="1"/>
  <c r="Q28" i="7"/>
  <c r="M28" i="7"/>
  <c r="K42" i="7"/>
  <c r="W28" i="7"/>
  <c r="G40" i="7"/>
  <c r="K40" i="7" s="1"/>
  <c r="O43" i="7" l="1"/>
  <c r="M43" i="7"/>
  <c r="O42" i="7"/>
  <c r="M42" i="7"/>
  <c r="O40" i="7"/>
  <c r="M40" i="7"/>
  <c r="O41" i="7"/>
  <c r="M41" i="7"/>
  <c r="H14" i="6"/>
  <c r="C25" i="8" s="1"/>
  <c r="G14" i="6"/>
  <c r="B25" i="8" s="1"/>
  <c r="G15" i="6"/>
  <c r="B24" i="8" s="1"/>
  <c r="H15" i="6"/>
  <c r="C24" i="8" s="1"/>
  <c r="G13" i="6"/>
  <c r="H13" i="6"/>
  <c r="G18" i="6"/>
  <c r="G23" i="8" s="1"/>
  <c r="H18" i="6"/>
  <c r="H23" i="8" s="1"/>
  <c r="H17" i="6"/>
  <c r="H24" i="8" s="1"/>
  <c r="G17" i="6"/>
  <c r="G24" i="8" s="1"/>
  <c r="M46" i="7" l="1"/>
  <c r="O44" i="7"/>
  <c r="O46" i="7" s="1"/>
  <c r="M44" i="7"/>
  <c r="Q45" i="7" s="1"/>
  <c r="J28" i="6" s="1"/>
  <c r="M11" i="8"/>
  <c r="H25" i="6"/>
  <c r="L11" i="8"/>
  <c r="G25" i="6"/>
  <c r="B29" i="8"/>
  <c r="C29" i="8"/>
  <c r="G28" i="8"/>
  <c r="H28" i="8"/>
  <c r="J25" i="6" l="1"/>
  <c r="J29" i="6" s="1"/>
  <c r="Q46" i="7"/>
  <c r="M14" i="8"/>
  <c r="H31" i="8"/>
  <c r="B3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Simpson</author>
  </authors>
  <commentList>
    <comment ref="B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 Simpson:</t>
        </r>
        <r>
          <rPr>
            <sz val="9"/>
            <color indexed="81"/>
            <rFont val="Tahoma"/>
            <family val="2"/>
          </rPr>
          <t xml:space="preserve">
Includes Contributions subsequent to measure ment date
</t>
        </r>
      </text>
    </comment>
  </commentList>
</comments>
</file>

<file path=xl/sharedStrings.xml><?xml version="1.0" encoding="utf-8"?>
<sst xmlns="http://schemas.openxmlformats.org/spreadsheetml/2006/main" count="139" uniqueCount="94">
  <si>
    <t xml:space="preserve">NOTE:  The highlighted amounts will need updated to respective employer.  The JE's are set up to auto populate from these schedules.  </t>
  </si>
  <si>
    <t>SCHEDULE OF EMPLOYER ALLOCATIONS</t>
  </si>
  <si>
    <t>FY22</t>
  </si>
  <si>
    <t>Total</t>
  </si>
  <si>
    <t>Employer</t>
  </si>
  <si>
    <t>Proportionate</t>
  </si>
  <si>
    <t>Contributions</t>
  </si>
  <si>
    <t>Allocation</t>
  </si>
  <si>
    <t>Employer A</t>
  </si>
  <si>
    <t>SCHEDULE OF COLLECTIVE PENSION AMOUNTS</t>
  </si>
  <si>
    <t>Deferred Outflows of Resources</t>
  </si>
  <si>
    <t>Deferred Inflows of Resources</t>
  </si>
  <si>
    <t>Net Difference Between Projected and Actual Investment Earnings on Pension Plan Investments</t>
  </si>
  <si>
    <t>Changes of Assumptions</t>
  </si>
  <si>
    <t>Differences Between Expected and Actual Experience</t>
  </si>
  <si>
    <t>Total Deferred Outflows of Resources Excluding Employer Specific Amounts*</t>
  </si>
  <si>
    <t>Total Deferred Inflows of Resources Excluding Employer Specific Amounts*</t>
  </si>
  <si>
    <t>Plan Pension Expense/ (Revenue)</t>
  </si>
  <si>
    <t>June 30 Net Pension Liability/(Asset)</t>
  </si>
  <si>
    <t>FY21 Data</t>
  </si>
  <si>
    <t>portion</t>
  </si>
  <si>
    <t>FY22 Cumulative Data</t>
  </si>
  <si>
    <t>Employer Cumulative Portion</t>
  </si>
  <si>
    <t>Change Employer portion</t>
  </si>
  <si>
    <t>Change in Proportionate Share - work with your auditor regarding how to book the entries and amortization</t>
  </si>
  <si>
    <t>Collective</t>
  </si>
  <si>
    <t>Amounts</t>
  </si>
  <si>
    <t>Percent</t>
  </si>
  <si>
    <t>Change</t>
  </si>
  <si>
    <t>Debit</t>
  </si>
  <si>
    <t>Credit</t>
  </si>
  <si>
    <t>Amortization Period</t>
  </si>
  <si>
    <t>DOR - Experience</t>
  </si>
  <si>
    <t>DOR - Assumptions</t>
  </si>
  <si>
    <t>Investments</t>
  </si>
  <si>
    <t>DIR - Experience</t>
  </si>
  <si>
    <t>Net Pension Liability</t>
  </si>
  <si>
    <t>Change in Proportionate Share</t>
  </si>
  <si>
    <t>4.6 years</t>
  </si>
  <si>
    <t xml:space="preserve">NOTE:  The highlighted amounts will need updated to respective employer.  </t>
  </si>
  <si>
    <r>
      <t>REMINDER: Please remember to carry your balances forward from prior fiscal year for</t>
    </r>
    <r>
      <rPr>
        <b/>
        <sz val="12"/>
        <color rgb="FFFF0000"/>
        <rFont val="Times New Roman"/>
        <family val="1"/>
      </rPr>
      <t xml:space="preserve"> Government-Wide financial statements ONLY</t>
    </r>
  </si>
  <si>
    <t>Journal Entries for</t>
  </si>
  <si>
    <t>June 30, 2023 Entry</t>
  </si>
  <si>
    <t>Net Pension Liability (credit) / Asset (debit)</t>
  </si>
  <si>
    <t>Change in Net Pension Liability per allocation report</t>
  </si>
  <si>
    <t>Deferred Outflow of Resources - Investments</t>
  </si>
  <si>
    <t>Change in DOR per allocation report</t>
  </si>
  <si>
    <t>Deferred Outflow of Resources - Assumptions</t>
  </si>
  <si>
    <t>Deferred Outflow of Resources - Experiences</t>
  </si>
  <si>
    <t>Deferred Inflow of Resources -  Investments</t>
  </si>
  <si>
    <t>Change in DIR per allocation report</t>
  </si>
  <si>
    <t>Deferred Inflow of Resources - Experience</t>
  </si>
  <si>
    <t>Pension Expense (debit) / Revenue (credit)</t>
  </si>
  <si>
    <t>Pension expense / revenue per actuary</t>
  </si>
  <si>
    <t>Deferred Outflows (balance sheet)</t>
  </si>
  <si>
    <t>Reversing PY deferred outflows - contributions</t>
  </si>
  <si>
    <t>Change in proportionate share</t>
  </si>
  <si>
    <t>Deferred Outflow of Resources (balance sheet)</t>
  </si>
  <si>
    <t>Contribution expense</t>
  </si>
  <si>
    <t>***Change in proportionate share</t>
  </si>
  <si>
    <t>work with your auditor regarding</t>
  </si>
  <si>
    <t>where to book this entry</t>
  </si>
  <si>
    <t>Proportionate Share Calculation from Input Sheet</t>
  </si>
  <si>
    <t>Difference</t>
  </si>
  <si>
    <t>T-Account Illustration for Employers with 6/30/23 FYE</t>
  </si>
  <si>
    <t>Using 6/30/22 as the Measurement Date</t>
  </si>
  <si>
    <t>**REMEMBER TO CARRY FORWARD YOUR PREVIOUS YEAR'S BALANCES FOR GOVERNMENT WIDE FINANCIALS**</t>
  </si>
  <si>
    <t>Beg Bal</t>
  </si>
  <si>
    <t>1)</t>
  </si>
  <si>
    <t>Proportionate Share of</t>
  </si>
  <si>
    <t>Collective Deferred Outflows</t>
  </si>
  <si>
    <t>Collective Deferred Inflows</t>
  </si>
  <si>
    <t>Collective Pension Expense/Revenue</t>
  </si>
  <si>
    <t>Ending Bal</t>
  </si>
  <si>
    <t>Cash to PERSI</t>
  </si>
  <si>
    <t>Contribution Expense</t>
  </si>
  <si>
    <t>1) record current year entry</t>
  </si>
  <si>
    <t>a) already recorded on employers GL - contributions paid to PERSI</t>
  </si>
  <si>
    <t>Change in proportionate share not reflected in this illustration entry would depend upon treatment</t>
  </si>
  <si>
    <t>Current Year Expense</t>
  </si>
  <si>
    <t>layered balances for each year</t>
  </si>
  <si>
    <t>Remaining Balance</t>
  </si>
  <si>
    <t>Total Recognized Expense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</si>
  <si>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</si>
  <si>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</si>
  <si>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</si>
  <si>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</si>
  <si>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</si>
  <si>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>**Add your proportionate share to amount</t>
  </si>
  <si>
    <t xml:space="preserve">Future Pension Expense </t>
  </si>
  <si>
    <t>FY23</t>
  </si>
  <si>
    <t>DOR - Investments</t>
  </si>
  <si>
    <t>DIR - Investments</t>
  </si>
  <si>
    <t>In Red is what ties to the Actuarial Report of "Schedule of  Deferred Inflows and Outflows of Resources"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</si>
</sst>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  <numFmt numFmtId="192" formatCode="0.0000000000"/>
  </numFmts>
  <fonts count="135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1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1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1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1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1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1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1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1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1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1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1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1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2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2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2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2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2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2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2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2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2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2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2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2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3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4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05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08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09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0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1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2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4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15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16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1" fillId="0" borderId="0"/>
    <xf numFmtId="0" fontId="101" fillId="0" borderId="0"/>
    <xf numFmtId="0" fontId="101" fillId="0" borderId="0"/>
    <xf numFmtId="0" fontId="117" fillId="0" borderId="0"/>
    <xf numFmtId="0" fontId="44" fillId="0" borderId="0"/>
    <xf numFmtId="0" fontId="101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17" fillId="0" borderId="0"/>
    <xf numFmtId="0" fontId="117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7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17" fillId="0" borderId="0"/>
    <xf numFmtId="0" fontId="18" fillId="0" borderId="0">
      <alignment vertical="top"/>
    </xf>
    <xf numFmtId="0" fontId="101" fillId="0" borderId="0"/>
    <xf numFmtId="0" fontId="118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19" fillId="0" borderId="0"/>
    <xf numFmtId="37" fontId="11" fillId="39" borderId="8" applyBorder="0">
      <alignment horizontal="left" vertical="center" indent="2"/>
    </xf>
    <xf numFmtId="0" fontId="4" fillId="0" borderId="0"/>
    <xf numFmtId="0" fontId="117" fillId="0" borderId="0"/>
    <xf numFmtId="0" fontId="101" fillId="0" borderId="0"/>
    <xf numFmtId="0" fontId="3" fillId="0" borderId="0"/>
    <xf numFmtId="0" fontId="101" fillId="0" borderId="0"/>
    <xf numFmtId="0" fontId="4" fillId="0" borderId="0"/>
    <xf numFmtId="0" fontId="117" fillId="0" borderId="0"/>
    <xf numFmtId="0" fontId="3" fillId="0" borderId="0"/>
    <xf numFmtId="0" fontId="101" fillId="0" borderId="0"/>
    <xf numFmtId="0" fontId="101" fillId="0" borderId="0"/>
    <xf numFmtId="0" fontId="117" fillId="0" borderId="0"/>
    <xf numFmtId="0" fontId="4" fillId="0" borderId="0"/>
    <xf numFmtId="0" fontId="101" fillId="0" borderId="0"/>
    <xf numFmtId="0" fontId="117" fillId="0" borderId="0"/>
    <xf numFmtId="0" fontId="3" fillId="0" borderId="0"/>
    <xf numFmtId="0" fontId="58" fillId="0" borderId="0"/>
    <xf numFmtId="0" fontId="8" fillId="0" borderId="0"/>
    <xf numFmtId="0" fontId="117" fillId="0" borderId="0"/>
    <xf numFmtId="0" fontId="10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17" fillId="0" borderId="0"/>
    <xf numFmtId="0" fontId="5" fillId="0" borderId="0"/>
    <xf numFmtId="0" fontId="119" fillId="0" borderId="0"/>
    <xf numFmtId="0" fontId="3" fillId="0" borderId="0"/>
    <xf numFmtId="0" fontId="4" fillId="0" borderId="0"/>
    <xf numFmtId="0" fontId="101" fillId="0" borderId="0"/>
    <xf numFmtId="0" fontId="58" fillId="0" borderId="0"/>
    <xf numFmtId="0" fontId="18" fillId="0" borderId="0">
      <alignment vertical="top"/>
    </xf>
    <xf numFmtId="0" fontId="117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1" fillId="0" borderId="0"/>
    <xf numFmtId="0" fontId="117" fillId="0" borderId="0"/>
    <xf numFmtId="0" fontId="101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17" fillId="0" borderId="0"/>
    <xf numFmtId="0" fontId="119" fillId="0" borderId="0"/>
    <xf numFmtId="0" fontId="3" fillId="0" borderId="0"/>
    <xf numFmtId="0" fontId="4" fillId="0" borderId="0"/>
    <xf numFmtId="0" fontId="8" fillId="0" borderId="0"/>
    <xf numFmtId="0" fontId="117" fillId="0" borderId="0"/>
    <xf numFmtId="0" fontId="3" fillId="0" borderId="0"/>
    <xf numFmtId="0" fontId="4" fillId="0" borderId="0"/>
    <xf numFmtId="0" fontId="8" fillId="0" borderId="0"/>
    <xf numFmtId="0" fontId="117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1" fillId="0" borderId="0"/>
    <xf numFmtId="0" fontId="3" fillId="0" borderId="0"/>
    <xf numFmtId="0" fontId="4" fillId="0" borderId="0"/>
    <xf numFmtId="0" fontId="8" fillId="0" borderId="0"/>
    <xf numFmtId="0" fontId="117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17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4" fillId="0" borderId="0"/>
    <xf numFmtId="0" fontId="4" fillId="0" borderId="0"/>
    <xf numFmtId="0" fontId="101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1" fillId="0" borderId="0"/>
    <xf numFmtId="0" fontId="101" fillId="0" borderId="0"/>
    <xf numFmtId="0" fontId="4" fillId="0" borderId="0"/>
    <xf numFmtId="0" fontId="3" fillId="0" borderId="0"/>
    <xf numFmtId="0" fontId="3" fillId="0" borderId="0"/>
    <xf numFmtId="0" fontId="101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0" fillId="0" borderId="0"/>
    <xf numFmtId="0" fontId="10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19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1" fillId="0" borderId="0"/>
    <xf numFmtId="0" fontId="117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1" fillId="0" borderId="0"/>
    <xf numFmtId="0" fontId="117" fillId="0" borderId="0"/>
    <xf numFmtId="0" fontId="101" fillId="0" borderId="0"/>
    <xf numFmtId="0" fontId="101" fillId="0" borderId="0"/>
    <xf numFmtId="0" fontId="101" fillId="0" borderId="0"/>
    <xf numFmtId="0" fontId="117" fillId="0" borderId="0"/>
    <xf numFmtId="0" fontId="3" fillId="0" borderId="0"/>
    <xf numFmtId="0" fontId="4" fillId="0" borderId="0"/>
    <xf numFmtId="0" fontId="44" fillId="0" borderId="0"/>
    <xf numFmtId="0" fontId="117" fillId="0" borderId="0"/>
    <xf numFmtId="0" fontId="44" fillId="0" borderId="0"/>
    <xf numFmtId="0" fontId="44" fillId="0" borderId="0"/>
    <xf numFmtId="0" fontId="18" fillId="0" borderId="0">
      <alignment vertical="top"/>
    </xf>
    <xf numFmtId="0" fontId="117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1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3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1" fillId="0" borderId="0" applyFont="0" applyFill="0" applyBorder="0" applyAlignment="0" applyProtection="0"/>
  </cellStyleXfs>
  <cellXfs count="149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2" fontId="0" fillId="0" borderId="0" xfId="0" applyNumberFormat="1"/>
    <xf numFmtId="0" fontId="95" fillId="0" borderId="0" xfId="0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98" fillId="0" borderId="0" xfId="0" applyFont="1"/>
    <xf numFmtId="0" fontId="98" fillId="0" borderId="0" xfId="0" applyFont="1" applyAlignment="1">
      <alignment horizontal="center"/>
    </xf>
    <xf numFmtId="0" fontId="95" fillId="0" borderId="20" xfId="0" applyFont="1" applyBorder="1" applyAlignment="1">
      <alignment horizontal="center" wrapText="1"/>
    </xf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164" fontId="0" fillId="0" borderId="24" xfId="0" applyNumberFormat="1" applyBorder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5" fillId="0" borderId="30" xfId="0" applyFont="1" applyBorder="1" applyAlignment="1">
      <alignment horizontal="center" wrapText="1"/>
    </xf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191" fontId="98" fillId="0" borderId="0" xfId="0" applyNumberFormat="1" applyFont="1" applyAlignment="1">
      <alignment horizontal="center"/>
    </xf>
    <xf numFmtId="42" fontId="0" fillId="0" borderId="19" xfId="0" applyNumberFormat="1" applyBorder="1"/>
    <xf numFmtId="165" fontId="0" fillId="0" borderId="19" xfId="0" applyNumberFormat="1" applyBorder="1"/>
    <xf numFmtId="165" fontId="101" fillId="0" borderId="0" xfId="729" applyNumberFormat="1" applyFont="1"/>
    <xf numFmtId="0" fontId="0" fillId="79" borderId="0" xfId="0" applyFill="1"/>
    <xf numFmtId="165" fontId="101" fillId="0" borderId="0" xfId="809" applyNumberFormat="1" applyFont="1" applyBorder="1"/>
    <xf numFmtId="164" fontId="101" fillId="0" borderId="24" xfId="1115" applyNumberFormat="1" applyFont="1" applyFill="1" applyBorder="1"/>
    <xf numFmtId="164" fontId="101" fillId="0" borderId="24" xfId="1115" applyNumberFormat="1" applyFont="1" applyBorder="1"/>
    <xf numFmtId="44" fontId="101" fillId="0" borderId="24" xfId="1115" applyFont="1" applyBorder="1"/>
    <xf numFmtId="42" fontId="95" fillId="0" borderId="31" xfId="845" applyNumberFormat="1" applyFont="1" applyBorder="1"/>
    <xf numFmtId="41" fontId="99" fillId="80" borderId="0" xfId="1731" applyNumberFormat="1" applyFont="1" applyFill="1"/>
    <xf numFmtId="0" fontId="125" fillId="0" borderId="0" xfId="0" applyFont="1"/>
    <xf numFmtId="165" fontId="127" fillId="0" borderId="0" xfId="809" applyNumberFormat="1" applyFont="1" applyFill="1"/>
    <xf numFmtId="165" fontId="0" fillId="0" borderId="0" xfId="729" applyNumberFormat="1" applyFont="1"/>
    <xf numFmtId="165" fontId="2" fillId="0" borderId="0" xfId="729" applyNumberFormat="1" applyFont="1"/>
    <xf numFmtId="0" fontId="124" fillId="0" borderId="0" xfId="0" applyFont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0" fontId="127" fillId="0" borderId="0" xfId="0" applyFont="1"/>
    <xf numFmtId="165" fontId="127" fillId="0" borderId="0" xfId="0" applyNumberFormat="1" applyFont="1"/>
    <xf numFmtId="165" fontId="127" fillId="0" borderId="0" xfId="729" applyNumberFormat="1" applyFont="1"/>
    <xf numFmtId="165" fontId="126" fillId="81" borderId="0" xfId="0" applyNumberFormat="1" applyFont="1" applyFill="1"/>
    <xf numFmtId="0" fontId="129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165" fontId="0" fillId="82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27" fillId="0" borderId="0" xfId="2755" applyNumberFormat="1" applyFont="1" applyFill="1" applyBorder="1"/>
    <xf numFmtId="43" fontId="0" fillId="0" borderId="0" xfId="2755" applyFont="1"/>
    <xf numFmtId="165" fontId="124" fillId="0" borderId="0" xfId="2755" applyNumberFormat="1" applyFont="1" applyFill="1" applyBorder="1"/>
    <xf numFmtId="165" fontId="124" fillId="0" borderId="0" xfId="0" applyNumberFormat="1" applyFont="1"/>
    <xf numFmtId="165" fontId="0" fillId="81" borderId="0" xfId="0" applyNumberFormat="1" applyFill="1"/>
    <xf numFmtId="165" fontId="0" fillId="83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0" borderId="20" xfId="0" applyNumberFormat="1" applyBorder="1"/>
    <xf numFmtId="43" fontId="0" fillId="0" borderId="0" xfId="2755" applyFont="1" applyBorder="1"/>
    <xf numFmtId="165" fontId="0" fillId="82" borderId="0" xfId="2755" applyNumberFormat="1" applyFont="1" applyFill="1"/>
    <xf numFmtId="43" fontId="0" fillId="0" borderId="0" xfId="2755" applyFont="1" applyFill="1" applyBorder="1"/>
    <xf numFmtId="165" fontId="0" fillId="82" borderId="0" xfId="2755" applyNumberFormat="1" applyFont="1" applyFill="1" applyAlignment="1">
      <alignment horizontal="right"/>
    </xf>
    <xf numFmtId="165" fontId="126" fillId="83" borderId="0" xfId="0" applyNumberFormat="1" applyFont="1" applyFill="1"/>
    <xf numFmtId="0" fontId="126" fillId="0" borderId="0" xfId="0" applyFont="1"/>
    <xf numFmtId="165" fontId="0" fillId="0" borderId="0" xfId="2755" applyNumberFormat="1" applyFont="1" applyFill="1"/>
    <xf numFmtId="43" fontId="0" fillId="0" borderId="0" xfId="2755" applyFont="1" applyFill="1"/>
    <xf numFmtId="0" fontId="0" fillId="81" borderId="0" xfId="0" applyFill="1" applyAlignment="1">
      <alignment horizontal="center" wrapText="1"/>
    </xf>
    <xf numFmtId="0" fontId="126" fillId="81" borderId="0" xfId="0" applyFont="1" applyFill="1" applyAlignment="1">
      <alignment horizontal="center" wrapText="1"/>
    </xf>
    <xf numFmtId="0" fontId="126" fillId="83" borderId="20" xfId="0" applyFont="1" applyFill="1" applyBorder="1" applyAlignment="1">
      <alignment horizontal="center" wrapText="1"/>
    </xf>
    <xf numFmtId="42" fontId="95" fillId="0" borderId="0" xfId="784" applyNumberFormat="1" applyFont="1" applyBorder="1"/>
    <xf numFmtId="0" fontId="130" fillId="0" borderId="0" xfId="0" applyFont="1" applyAlignment="1">
      <alignment horizontal="left"/>
    </xf>
    <xf numFmtId="0" fontId="132" fillId="0" borderId="20" xfId="0" applyFont="1" applyBorder="1"/>
    <xf numFmtId="165" fontId="128" fillId="0" borderId="34" xfId="729" applyNumberFormat="1" applyFont="1" applyBorder="1"/>
    <xf numFmtId="165" fontId="127" fillId="0" borderId="0" xfId="2755" applyNumberFormat="1" applyFont="1"/>
    <xf numFmtId="165" fontId="127" fillId="0" borderId="0" xfId="2755" applyNumberFormat="1" applyFont="1" applyFill="1"/>
    <xf numFmtId="42" fontId="95" fillId="0" borderId="31" xfId="845" applyNumberFormat="1" applyFont="1" applyFill="1" applyBorder="1"/>
    <xf numFmtId="44" fontId="101" fillId="0" borderId="24" xfId="1115" applyFont="1" applyFill="1" applyBorder="1"/>
    <xf numFmtId="164" fontId="101" fillId="0" borderId="0" xfId="1115" applyNumberFormat="1" applyFont="1" applyFill="1" applyBorder="1"/>
    <xf numFmtId="165" fontId="0" fillId="0" borderId="0" xfId="729" applyNumberFormat="1" applyFont="1" applyFill="1" applyAlignment="1">
      <alignment horizontal="right"/>
    </xf>
    <xf numFmtId="165" fontId="0" fillId="0" borderId="0" xfId="729" applyNumberFormat="1" applyFont="1" applyFill="1"/>
    <xf numFmtId="165" fontId="0" fillId="0" borderId="0" xfId="729" applyNumberFormat="1" applyFont="1" applyAlignment="1">
      <alignment horizontal="right"/>
    </xf>
    <xf numFmtId="165" fontId="0" fillId="0" borderId="20" xfId="729" applyNumberFormat="1" applyFont="1" applyBorder="1" applyAlignment="1">
      <alignment horizontal="right"/>
    </xf>
    <xf numFmtId="41" fontId="0" fillId="0" borderId="0" xfId="0" applyNumberFormat="1"/>
    <xf numFmtId="165" fontId="0" fillId="0" borderId="20" xfId="2755" applyNumberFormat="1" applyFont="1" applyFill="1" applyBorder="1"/>
    <xf numFmtId="43" fontId="127" fillId="0" borderId="0" xfId="2755" applyFont="1" applyFill="1"/>
    <xf numFmtId="165" fontId="124" fillId="0" borderId="0" xfId="2755" applyNumberFormat="1" applyFont="1" applyFill="1"/>
    <xf numFmtId="43" fontId="124" fillId="0" borderId="0" xfId="0" applyNumberFormat="1" applyFont="1"/>
    <xf numFmtId="165" fontId="127" fillId="0" borderId="0" xfId="2755" applyNumberFormat="1" applyFont="1" applyBorder="1"/>
    <xf numFmtId="165" fontId="0" fillId="0" borderId="20" xfId="729" applyNumberFormat="1" applyFont="1" applyBorder="1"/>
    <xf numFmtId="43" fontId="124" fillId="0" borderId="0" xfId="2755" applyFont="1" applyFill="1"/>
    <xf numFmtId="0" fontId="130" fillId="0" borderId="0" xfId="0" applyFont="1" applyAlignment="1">
      <alignment horizontal="left" wrapText="1"/>
    </xf>
    <xf numFmtId="165" fontId="0" fillId="0" borderId="33" xfId="0" applyNumberFormat="1" applyBorder="1"/>
    <xf numFmtId="165" fontId="0" fillId="0" borderId="29" xfId="0" applyNumberFormat="1" applyBorder="1"/>
    <xf numFmtId="165" fontId="2" fillId="0" borderId="0" xfId="784" applyNumberFormat="1" applyFont="1" applyBorder="1"/>
    <xf numFmtId="0" fontId="92" fillId="0" borderId="28" xfId="0" applyFont="1" applyBorder="1"/>
    <xf numFmtId="0" fontId="92" fillId="0" borderId="0" xfId="0" applyFont="1" applyAlignment="1">
      <alignment horizontal="center"/>
    </xf>
    <xf numFmtId="164" fontId="2" fillId="0" borderId="0" xfId="1110" applyNumberFormat="1" applyFont="1" applyBorder="1"/>
    <xf numFmtId="44" fontId="2" fillId="0" borderId="0" xfId="1110" applyFont="1" applyBorder="1"/>
    <xf numFmtId="0" fontId="98" fillId="0" borderId="29" xfId="0" applyFont="1" applyBorder="1"/>
    <xf numFmtId="165" fontId="2" fillId="0" borderId="0" xfId="729" applyNumberFormat="1" applyFont="1" applyBorder="1"/>
    <xf numFmtId="165" fontId="2" fillId="0" borderId="0" xfId="729" applyNumberFormat="1" applyFont="1" applyFill="1"/>
    <xf numFmtId="165" fontId="2" fillId="47" borderId="0" xfId="729" applyNumberFormat="1" applyFont="1" applyFill="1" applyAlignment="1">
      <alignment horizontal="right"/>
    </xf>
    <xf numFmtId="165" fontId="2" fillId="0" borderId="20" xfId="729" applyNumberFormat="1" applyFont="1" applyFill="1" applyBorder="1" applyAlignment="1">
      <alignment horizontal="right"/>
    </xf>
    <xf numFmtId="165" fontId="98" fillId="0" borderId="17" xfId="729" applyNumberFormat="1" applyFont="1" applyBorder="1"/>
    <xf numFmtId="165" fontId="2" fillId="0" borderId="20" xfId="729" applyNumberFormat="1" applyFont="1" applyBorder="1"/>
    <xf numFmtId="165" fontId="98" fillId="0" borderId="35" xfId="729" applyNumberFormat="1" applyFont="1" applyBorder="1"/>
    <xf numFmtId="165" fontId="98" fillId="0" borderId="34" xfId="729" applyNumberFormat="1" applyFont="1" applyBorder="1"/>
    <xf numFmtId="165" fontId="2" fillId="0" borderId="49" xfId="729" applyNumberFormat="1" applyFont="1" applyBorder="1"/>
    <xf numFmtId="165" fontId="2" fillId="0" borderId="48" xfId="729" applyNumberFormat="1" applyFont="1" applyBorder="1"/>
    <xf numFmtId="165" fontId="98" fillId="0" borderId="0" xfId="729" applyNumberFormat="1" applyFont="1" applyBorder="1"/>
    <xf numFmtId="192" fontId="99" fillId="80" borderId="0" xfId="2358" applyNumberFormat="1" applyFont="1" applyFill="1" applyBorder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92" fillId="0" borderId="0" xfId="0" applyFont="1" applyAlignment="1">
      <alignment horizontal="left" wrapText="1"/>
    </xf>
    <xf numFmtId="0" fontId="130" fillId="0" borderId="0" xfId="0" applyFont="1" applyAlignment="1">
      <alignment horizontal="left" wrapText="1"/>
    </xf>
    <xf numFmtId="0" fontId="98" fillId="0" borderId="20" xfId="0" applyFont="1" applyBorder="1" applyAlignment="1">
      <alignment horizontal="center"/>
    </xf>
    <xf numFmtId="0" fontId="98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25" fillId="0" borderId="0" xfId="0" applyFont="1" applyAlignment="1">
      <alignment horizontal="center"/>
    </xf>
    <xf numFmtId="165" fontId="0" fillId="0" borderId="0" xfId="0" applyNumberFormat="1" applyBorder="1"/>
    <xf numFmtId="0" fontId="0" fillId="0" borderId="0" xfId="0" applyBorder="1"/>
    <xf numFmtId="165" fontId="127" fillId="0" borderId="0" xfId="0" applyNumberFormat="1" applyFont="1" applyBorder="1"/>
    <xf numFmtId="165" fontId="127" fillId="0" borderId="20" xfId="0" applyNumberFormat="1" applyFont="1" applyBorder="1"/>
    <xf numFmtId="165" fontId="0" fillId="0" borderId="0" xfId="729" applyNumberFormat="1" applyFont="1" applyBorder="1"/>
    <xf numFmtId="43" fontId="127" fillId="0" borderId="0" xfId="0" applyNumberFormat="1" applyFont="1"/>
    <xf numFmtId="43" fontId="0" fillId="0" borderId="20" xfId="2755" applyFont="1" applyFill="1" applyBorder="1"/>
    <xf numFmtId="165" fontId="0" fillId="0" borderId="0" xfId="0" applyNumberFormat="1" applyFill="1"/>
    <xf numFmtId="0" fontId="0" fillId="0" borderId="0" xfId="0" applyFill="1"/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285750</xdr:colOff>
      <xdr:row>12</xdr:row>
      <xdr:rowOff>38100</xdr:rowOff>
    </xdr:from>
    <xdr:to>
      <xdr:col>17</xdr:col>
      <xdr:colOff>104774</xdr:colOff>
      <xdr:row>15</xdr:row>
      <xdr:rowOff>19051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8639175" y="25146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"/>
  <sheetViews>
    <sheetView tabSelected="1" zoomScale="80" zoomScaleNormal="80" workbookViewId="0">
      <selection activeCell="I9" sqref="I9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8.42578125" bestFit="1" customWidth="1"/>
    <col min="6" max="6" width="4" customWidth="1"/>
    <col min="7" max="7" width="15.28515625" bestFit="1" customWidth="1"/>
    <col min="8" max="8" width="3.85546875" customWidth="1"/>
    <col min="9" max="9" width="15.140625" customWidth="1"/>
    <col min="10" max="10" width="3.28515625" customWidth="1"/>
    <col min="11" max="11" width="16.85546875" customWidth="1"/>
    <col min="12" max="12" width="3.140625" customWidth="1"/>
    <col min="13" max="13" width="16.42578125" customWidth="1"/>
    <col min="14" max="14" width="2.140625" customWidth="1"/>
    <col min="15" max="15" width="13.5703125" customWidth="1"/>
    <col min="16" max="16" width="3" customWidth="1"/>
    <col min="17" max="17" width="19.7109375" customWidth="1"/>
    <col min="18" max="18" width="3.28515625" customWidth="1"/>
    <col min="19" max="19" width="15.85546875" customWidth="1"/>
    <col min="20" max="20" width="3.5703125" customWidth="1"/>
    <col min="21" max="21" width="16.28515625" bestFit="1" customWidth="1"/>
    <col min="23" max="23" width="16.5703125" bestFit="1" customWidth="1"/>
    <col min="24" max="24" width="16.28515625" bestFit="1" customWidth="1"/>
  </cols>
  <sheetData>
    <row r="1" spans="1:23" ht="36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3" spans="1:23">
      <c r="A3" s="8" t="s">
        <v>1</v>
      </c>
    </row>
    <row r="4" spans="1:23">
      <c r="A4" s="8"/>
    </row>
    <row r="5" spans="1:23">
      <c r="A5" s="8"/>
      <c r="I5" s="17" t="s">
        <v>90</v>
      </c>
      <c r="K5" s="17" t="s">
        <v>90</v>
      </c>
      <c r="M5" s="17" t="s">
        <v>2</v>
      </c>
      <c r="O5" s="17" t="s">
        <v>2</v>
      </c>
    </row>
    <row r="6" spans="1:23">
      <c r="I6" s="17" t="s">
        <v>3</v>
      </c>
      <c r="K6" s="37" t="s">
        <v>4</v>
      </c>
      <c r="M6" s="17" t="s">
        <v>3</v>
      </c>
      <c r="O6" s="37" t="s">
        <v>4</v>
      </c>
    </row>
    <row r="7" spans="1:23">
      <c r="I7" s="17" t="s">
        <v>4</v>
      </c>
      <c r="K7" s="37" t="s">
        <v>5</v>
      </c>
      <c r="M7" s="17" t="s">
        <v>4</v>
      </c>
      <c r="O7" s="37" t="s">
        <v>5</v>
      </c>
    </row>
    <row r="8" spans="1:23">
      <c r="A8" s="17" t="s">
        <v>4</v>
      </c>
      <c r="B8" s="17"/>
      <c r="C8" s="17"/>
      <c r="D8" s="17"/>
      <c r="E8" s="17"/>
      <c r="F8" s="17"/>
      <c r="G8" s="17"/>
      <c r="H8" s="16"/>
      <c r="I8" s="17" t="s">
        <v>6</v>
      </c>
      <c r="K8" s="37" t="s">
        <v>7</v>
      </c>
      <c r="M8" s="17" t="s">
        <v>6</v>
      </c>
      <c r="O8" s="37" t="s">
        <v>7</v>
      </c>
    </row>
    <row r="9" spans="1:23">
      <c r="A9" s="19" t="s">
        <v>8</v>
      </c>
      <c r="I9" s="47">
        <v>837202</v>
      </c>
      <c r="K9" s="130">
        <v>1.6490793E-3</v>
      </c>
      <c r="M9" s="47">
        <v>768791</v>
      </c>
      <c r="O9" s="130">
        <v>1.6327823E-3</v>
      </c>
    </row>
    <row r="10" spans="1:23">
      <c r="A10" s="19"/>
      <c r="I10" s="20"/>
      <c r="K10" s="21"/>
    </row>
    <row r="11" spans="1:23">
      <c r="A11" s="19"/>
      <c r="I11" s="20"/>
      <c r="K11" s="21"/>
    </row>
    <row r="12" spans="1:23">
      <c r="A12" s="19"/>
      <c r="I12" s="20"/>
      <c r="K12" s="21"/>
    </row>
    <row r="13" spans="1:23" ht="15.75" thickBot="1">
      <c r="A13" s="8" t="s">
        <v>9</v>
      </c>
    </row>
    <row r="14" spans="1:23">
      <c r="A14" s="24"/>
      <c r="B14" s="25"/>
      <c r="C14" s="26"/>
      <c r="D14" s="26"/>
      <c r="E14" s="131" t="s">
        <v>10</v>
      </c>
      <c r="F14" s="132"/>
      <c r="G14" s="132"/>
      <c r="H14" s="132"/>
      <c r="I14" s="132"/>
      <c r="J14" s="132"/>
      <c r="K14" s="133"/>
      <c r="L14" s="27"/>
      <c r="M14" s="131" t="s">
        <v>11</v>
      </c>
      <c r="N14" s="132"/>
      <c r="O14" s="132"/>
      <c r="P14" s="132"/>
      <c r="Q14" s="132"/>
      <c r="R14" s="132"/>
      <c r="S14" s="133"/>
      <c r="T14" s="26"/>
      <c r="U14" s="26"/>
      <c r="V14" s="26"/>
      <c r="W14" s="28"/>
    </row>
    <row r="15" spans="1:23" ht="18" customHeight="1">
      <c r="A15" s="29"/>
      <c r="C15" s="7"/>
      <c r="D15" s="7"/>
      <c r="E15" s="6"/>
      <c r="F15" s="6"/>
      <c r="G15" s="6"/>
      <c r="H15" s="6"/>
      <c r="I15" s="6"/>
      <c r="J15" s="6"/>
      <c r="K15" s="6"/>
      <c r="L15" s="7"/>
      <c r="M15" s="6"/>
      <c r="N15" s="6"/>
      <c r="O15" s="6"/>
      <c r="P15" s="6"/>
      <c r="Q15" s="6"/>
      <c r="R15" s="6"/>
      <c r="S15" s="6"/>
      <c r="T15" s="7"/>
      <c r="U15" s="7"/>
      <c r="V15" s="7"/>
      <c r="W15" s="30"/>
    </row>
    <row r="16" spans="1:23" ht="90" customHeight="1">
      <c r="A16" s="29"/>
      <c r="C16" s="12"/>
      <c r="D16" s="7"/>
      <c r="E16" s="18" t="s">
        <v>12</v>
      </c>
      <c r="F16" s="7"/>
      <c r="G16" s="18" t="s">
        <v>13</v>
      </c>
      <c r="H16" s="12"/>
      <c r="I16" s="12" t="s">
        <v>14</v>
      </c>
      <c r="J16" s="12"/>
      <c r="K16" s="18" t="s">
        <v>15</v>
      </c>
      <c r="L16" s="7"/>
      <c r="M16" s="18" t="s">
        <v>12</v>
      </c>
      <c r="N16" s="7"/>
      <c r="O16" s="18" t="s">
        <v>13</v>
      </c>
      <c r="P16" s="7"/>
      <c r="Q16" s="18" t="s">
        <v>14</v>
      </c>
      <c r="R16" s="7"/>
      <c r="S16" s="18" t="s">
        <v>16</v>
      </c>
      <c r="T16" s="7"/>
      <c r="U16" s="18" t="s">
        <v>17</v>
      </c>
      <c r="V16" s="18"/>
      <c r="W16" s="31" t="s">
        <v>18</v>
      </c>
    </row>
    <row r="17" spans="1:26" ht="15.75" thickBot="1">
      <c r="A17" s="29" t="s">
        <v>19</v>
      </c>
      <c r="C17" s="89"/>
      <c r="D17" s="7"/>
      <c r="E17" s="43">
        <v>906261627</v>
      </c>
      <c r="G17" s="43">
        <v>642135647</v>
      </c>
      <c r="H17" s="97"/>
      <c r="I17" s="43">
        <v>433119600</v>
      </c>
      <c r="K17" s="22">
        <f>SUM(E17:I17)</f>
        <v>1981516874</v>
      </c>
      <c r="M17" s="44">
        <v>0</v>
      </c>
      <c r="O17" s="45">
        <v>0</v>
      </c>
      <c r="Q17" s="43">
        <v>17580028</v>
      </c>
      <c r="S17" s="22">
        <f>SUM(M17:Q17)</f>
        <v>17580028</v>
      </c>
      <c r="U17" s="22">
        <v>1021030804</v>
      </c>
      <c r="V17" s="14"/>
      <c r="W17" s="46">
        <v>3938758060</v>
      </c>
    </row>
    <row r="18" spans="1:26" ht="15.75" thickTop="1">
      <c r="A18" s="29"/>
      <c r="C18" s="113"/>
      <c r="E18" s="113"/>
      <c r="F18" s="113"/>
      <c r="G18" s="113"/>
      <c r="H18" s="113"/>
      <c r="I18" s="113"/>
      <c r="K18" s="13"/>
      <c r="M18" s="113"/>
      <c r="S18" s="13"/>
      <c r="U18" s="13"/>
      <c r="V18" s="13"/>
      <c r="W18" s="30"/>
    </row>
    <row r="19" spans="1:26">
      <c r="A19" s="29"/>
      <c r="D19" s="15"/>
      <c r="U19" s="11"/>
      <c r="V19" s="11"/>
      <c r="W19" s="30"/>
    </row>
    <row r="20" spans="1:26">
      <c r="A20" s="114" t="str">
        <f>A9</f>
        <v>Employer A</v>
      </c>
      <c r="B20" s="115" t="s">
        <v>20</v>
      </c>
      <c r="C20" s="14"/>
      <c r="D20" s="14"/>
      <c r="E20" s="14">
        <f>ROUND((E17*$O$9),0)</f>
        <v>1479728</v>
      </c>
      <c r="F20" s="14"/>
      <c r="G20" s="14">
        <f>ROUND((G17*$O$9),0)</f>
        <v>1048468</v>
      </c>
      <c r="H20" s="14"/>
      <c r="I20" s="14">
        <f>ROUND((I17*$O$9),0)</f>
        <v>707190</v>
      </c>
      <c r="J20" s="14"/>
      <c r="K20" s="14">
        <f>ROUND((K17*$O$9),0)</f>
        <v>3235386</v>
      </c>
      <c r="L20" s="14"/>
      <c r="M20" s="14">
        <f>ROUND((M17*$O$9),0)</f>
        <v>0</v>
      </c>
      <c r="N20" s="14"/>
      <c r="O20" s="14">
        <f>ROUND((O17*$O$9),0)</f>
        <v>0</v>
      </c>
      <c r="P20" s="14"/>
      <c r="Q20" s="14">
        <f>ROUND((Q17*$O$9),0)</f>
        <v>28704</v>
      </c>
      <c r="R20" s="14"/>
      <c r="S20" s="14">
        <f>ROUND((S17*$O$9),0)</f>
        <v>28704</v>
      </c>
      <c r="T20" s="14"/>
      <c r="U20" s="14">
        <f>ROUND((U17*$O$9),0)</f>
        <v>1667121</v>
      </c>
      <c r="V20" s="14"/>
      <c r="W20" s="32">
        <f>ROUND((W17*$O$9),0)</f>
        <v>6431134</v>
      </c>
    </row>
    <row r="21" spans="1:26">
      <c r="A21" s="29"/>
      <c r="U21" s="14"/>
      <c r="V21" s="14"/>
      <c r="W21" s="30"/>
    </row>
    <row r="22" spans="1:26">
      <c r="A22" s="29"/>
      <c r="C22" s="12"/>
      <c r="E22" s="116"/>
      <c r="G22" s="116"/>
      <c r="H22" s="116"/>
      <c r="I22" s="116"/>
      <c r="K22" s="117"/>
      <c r="U22" s="14"/>
      <c r="V22" s="14"/>
      <c r="W22" s="30"/>
    </row>
    <row r="23" spans="1:26" ht="15.75" thickBot="1">
      <c r="A23" s="29" t="s">
        <v>21</v>
      </c>
      <c r="C23" s="11"/>
      <c r="E23" s="43">
        <v>374583135</v>
      </c>
      <c r="G23" s="43">
        <v>395160399</v>
      </c>
      <c r="H23" s="97"/>
      <c r="I23" s="43">
        <v>684031178</v>
      </c>
      <c r="K23" s="22">
        <f>SUM(E23:J23)</f>
        <v>1453774712</v>
      </c>
      <c r="M23" s="43">
        <v>0</v>
      </c>
      <c r="O23" s="96">
        <v>0</v>
      </c>
      <c r="Q23" s="43">
        <v>0</v>
      </c>
      <c r="S23" s="22">
        <f>SUM(M23:Q23)</f>
        <v>0</v>
      </c>
      <c r="U23" s="22">
        <v>1069753081</v>
      </c>
      <c r="V23" s="14"/>
      <c r="W23" s="95">
        <v>3990670563</v>
      </c>
      <c r="X23" s="11"/>
      <c r="Z23" s="11"/>
    </row>
    <row r="24" spans="1:26" ht="15.75" thickTop="1">
      <c r="A24" s="29"/>
      <c r="U24" s="14"/>
      <c r="V24" s="14"/>
      <c r="W24" s="30"/>
    </row>
    <row r="25" spans="1:26">
      <c r="A25" s="114" t="s">
        <v>22</v>
      </c>
      <c r="B25" s="115"/>
      <c r="C25" s="14"/>
      <c r="E25" s="14">
        <f>ROUND((E23*$K$9),0)</f>
        <v>617717</v>
      </c>
      <c r="G25" s="14">
        <f>ROUND((G23*$K$9),0)</f>
        <v>651651</v>
      </c>
      <c r="H25" s="14"/>
      <c r="I25" s="14">
        <f>ROUND((I23*$K$9),0)</f>
        <v>1128022</v>
      </c>
      <c r="K25" s="14">
        <f>ROUND((K23*$K$9),0)</f>
        <v>2397390</v>
      </c>
      <c r="M25" s="14">
        <f>ROUND((M23*$K$9),0)</f>
        <v>0</v>
      </c>
      <c r="O25" s="14">
        <f>ROUND((O23*$K$9),0)</f>
        <v>0</v>
      </c>
      <c r="Q25" s="14">
        <f>ROUND((Q23*$K$9),0)</f>
        <v>0</v>
      </c>
      <c r="S25" s="14">
        <f>ROUND((S23*$K$9),0)</f>
        <v>0</v>
      </c>
      <c r="U25" s="14">
        <f>ROUND((U23*$K$9),0)</f>
        <v>1764108</v>
      </c>
      <c r="V25" s="14"/>
      <c r="W25" s="32">
        <f>ROUND((W23*$K$9),0)</f>
        <v>6580932</v>
      </c>
      <c r="X25" s="14"/>
    </row>
    <row r="26" spans="1:26">
      <c r="A26" s="29"/>
      <c r="U26" s="14"/>
      <c r="V26" s="14"/>
      <c r="W26" s="30"/>
    </row>
    <row r="27" spans="1:26">
      <c r="A27" s="29"/>
      <c r="U27" s="14"/>
      <c r="V27" s="14"/>
      <c r="W27" s="33"/>
    </row>
    <row r="28" spans="1:26">
      <c r="A28" s="29" t="s">
        <v>23</v>
      </c>
      <c r="E28" s="14">
        <f>E25-E20</f>
        <v>-862011</v>
      </c>
      <c r="G28" s="14">
        <f>G25-G20</f>
        <v>-396817</v>
      </c>
      <c r="H28" s="14"/>
      <c r="I28" s="14">
        <f>+I25-I20</f>
        <v>420832</v>
      </c>
      <c r="J28" s="14"/>
      <c r="K28" s="14">
        <f>+K25-K20</f>
        <v>-837996</v>
      </c>
      <c r="M28" s="14">
        <f>M25-M20</f>
        <v>0</v>
      </c>
      <c r="O28" s="14">
        <f>+O25-O20</f>
        <v>0</v>
      </c>
      <c r="Q28" s="14">
        <f>Q25-Q20</f>
        <v>-28704</v>
      </c>
      <c r="S28" s="14"/>
      <c r="U28" s="14">
        <f>+U25-U20</f>
        <v>96987</v>
      </c>
      <c r="V28" s="14"/>
      <c r="W28" s="32">
        <f>+W25-W20</f>
        <v>149798</v>
      </c>
    </row>
    <row r="29" spans="1:26">
      <c r="A29" s="29"/>
      <c r="U29" s="14"/>
      <c r="V29" s="14"/>
      <c r="W29" s="30"/>
    </row>
    <row r="30" spans="1:26" ht="15.75" thickBot="1">
      <c r="A30" s="34"/>
      <c r="B30" s="35"/>
      <c r="C30" s="35"/>
      <c r="D30" s="35"/>
      <c r="E30" s="35"/>
      <c r="F30" s="35"/>
      <c r="G30" s="38"/>
      <c r="H30" s="38"/>
      <c r="I30" s="38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6"/>
    </row>
    <row r="31" spans="1:26">
      <c r="M31" s="14"/>
    </row>
    <row r="33" spans="1:23" ht="15.75" thickBot="1">
      <c r="A33" s="8" t="s">
        <v>24</v>
      </c>
    </row>
    <row r="34" spans="1:23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8"/>
    </row>
    <row r="35" spans="1:23">
      <c r="A35" s="29"/>
      <c r="E35" s="17" t="s">
        <v>2</v>
      </c>
      <c r="G35" s="17" t="s">
        <v>2</v>
      </c>
      <c r="I35" s="17" t="s">
        <v>90</v>
      </c>
      <c r="Q35" s="30"/>
    </row>
    <row r="36" spans="1:23">
      <c r="A36" s="29"/>
      <c r="E36" s="17" t="s">
        <v>25</v>
      </c>
      <c r="G36" s="17" t="s">
        <v>7</v>
      </c>
      <c r="I36" s="17" t="s">
        <v>7</v>
      </c>
      <c r="Q36" s="30"/>
    </row>
    <row r="37" spans="1:23">
      <c r="A37" s="29"/>
      <c r="E37" s="17" t="s">
        <v>26</v>
      </c>
      <c r="G37" s="17" t="s">
        <v>27</v>
      </c>
      <c r="I37" s="17" t="s">
        <v>27</v>
      </c>
      <c r="K37" s="17" t="s">
        <v>28</v>
      </c>
      <c r="M37" s="17" t="s">
        <v>29</v>
      </c>
      <c r="O37" s="17" t="s">
        <v>30</v>
      </c>
      <c r="Q37" s="118" t="s">
        <v>31</v>
      </c>
      <c r="W37" s="14"/>
    </row>
    <row r="38" spans="1:23">
      <c r="A38" s="29"/>
      <c r="C38" s="4" t="s">
        <v>91</v>
      </c>
      <c r="E38" s="11">
        <f>+E17-M17</f>
        <v>906261627</v>
      </c>
      <c r="G38" s="119">
        <f>E38*$O$9</f>
        <v>1479727.9437348021</v>
      </c>
      <c r="I38" s="119">
        <f>E38*$K$9</f>
        <v>1494497.2894700211</v>
      </c>
      <c r="K38" s="119">
        <f t="shared" ref="K38" si="0">I38-G38</f>
        <v>14769.345735219074</v>
      </c>
      <c r="M38" s="42">
        <f>IF(K38&gt;0,K38,)</f>
        <v>14769.345735219074</v>
      </c>
      <c r="N38" s="42"/>
      <c r="O38" s="42">
        <f>IF(K38&lt;0,-K38,)</f>
        <v>0</v>
      </c>
      <c r="Q38" s="30"/>
      <c r="W38" s="14"/>
    </row>
    <row r="39" spans="1:23">
      <c r="A39" s="29"/>
      <c r="C39" s="4" t="s">
        <v>32</v>
      </c>
      <c r="E39" s="11">
        <f>+I17</f>
        <v>433119600</v>
      </c>
      <c r="G39" s="119">
        <f>E39*O9</f>
        <v>707190.01666307996</v>
      </c>
      <c r="I39" s="119">
        <f>E39*K9</f>
        <v>714248.56678428</v>
      </c>
      <c r="K39" s="119">
        <f>I39-G39</f>
        <v>7058.5501212000381</v>
      </c>
      <c r="M39" s="42">
        <f>IF(K39&gt;0,K39,)</f>
        <v>7058.5501212000381</v>
      </c>
      <c r="N39" s="42"/>
      <c r="O39" s="42">
        <f>IF(K39&lt;0,-K39,)</f>
        <v>0</v>
      </c>
      <c r="Q39" s="30"/>
    </row>
    <row r="40" spans="1:23">
      <c r="A40" s="29"/>
      <c r="C40" s="4" t="s">
        <v>33</v>
      </c>
      <c r="E40" s="119">
        <f>G17</f>
        <v>642135647</v>
      </c>
      <c r="G40" s="119">
        <f>E40*O9</f>
        <v>1048467.7186206481</v>
      </c>
      <c r="H40" s="119"/>
      <c r="I40" s="119">
        <f>E40*K9</f>
        <v>1058932.6032598072</v>
      </c>
      <c r="J40" s="119"/>
      <c r="K40" s="119">
        <f>I40-G40</f>
        <v>10464.884639159078</v>
      </c>
      <c r="L40" s="119"/>
      <c r="M40" s="42">
        <f>IF(K40&gt;0,K40,)</f>
        <v>10464.884639159078</v>
      </c>
      <c r="N40" s="42"/>
      <c r="O40" s="42">
        <f>IF(K40&lt;0,-K40,)</f>
        <v>0</v>
      </c>
      <c r="Q40" s="30"/>
      <c r="W40" s="14"/>
    </row>
    <row r="41" spans="1:23">
      <c r="A41" s="29"/>
      <c r="C41" s="4" t="s">
        <v>92</v>
      </c>
      <c r="E41" s="119">
        <f>M17</f>
        <v>0</v>
      </c>
      <c r="G41" s="119">
        <f>E41*O9</f>
        <v>0</v>
      </c>
      <c r="H41" s="119"/>
      <c r="I41" s="119">
        <f>E41*K9</f>
        <v>0</v>
      </c>
      <c r="J41" s="119"/>
      <c r="K41" s="119">
        <f>I41-G41</f>
        <v>0</v>
      </c>
      <c r="L41" s="119"/>
      <c r="M41" s="42">
        <f>IF(K41&lt;0,-K41,)</f>
        <v>0</v>
      </c>
      <c r="N41" s="42"/>
      <c r="O41" s="42">
        <f>IF(K41&gt;0,K41,)</f>
        <v>0</v>
      </c>
      <c r="Q41" s="30"/>
    </row>
    <row r="42" spans="1:23">
      <c r="A42" s="29"/>
      <c r="C42" s="4" t="s">
        <v>35</v>
      </c>
      <c r="E42" s="119">
        <f>Q17</f>
        <v>17580028</v>
      </c>
      <c r="G42" s="119">
        <f>E42*O9</f>
        <v>28704.358551904399</v>
      </c>
      <c r="H42" s="119"/>
      <c r="I42" s="119">
        <f>E42*K9</f>
        <v>28990.8602682204</v>
      </c>
      <c r="J42" s="119"/>
      <c r="K42" s="119">
        <f>I42-G42</f>
        <v>286.50171631600097</v>
      </c>
      <c r="L42" s="119"/>
      <c r="M42" s="42">
        <f>IF(K42&lt;0,-K42,)</f>
        <v>0</v>
      </c>
      <c r="N42" s="42"/>
      <c r="O42" s="42">
        <f>IF(K42&gt;0,K42,)</f>
        <v>286.50171631600097</v>
      </c>
      <c r="Q42" s="30"/>
      <c r="W42" s="14"/>
    </row>
    <row r="43" spans="1:23">
      <c r="A43" s="29"/>
      <c r="C43" s="4" t="s">
        <v>36</v>
      </c>
      <c r="E43" s="119">
        <f>W17</f>
        <v>3938758060</v>
      </c>
      <c r="G43" s="119">
        <f>E43*O9</f>
        <v>6431134.4443503385</v>
      </c>
      <c r="H43" s="119"/>
      <c r="I43" s="119">
        <f>E43*K9</f>
        <v>6495324.3844541581</v>
      </c>
      <c r="J43" s="119"/>
      <c r="K43" s="119">
        <f>I43-G43</f>
        <v>64189.940103819594</v>
      </c>
      <c r="L43" s="119"/>
      <c r="M43" s="42">
        <f>IF(K43&lt;0,-K43,)</f>
        <v>0</v>
      </c>
      <c r="N43" s="42"/>
      <c r="O43" s="42">
        <f>IF(K43&gt;0,K43,)</f>
        <v>64189.940103819594</v>
      </c>
      <c r="Q43" s="30"/>
    </row>
    <row r="44" spans="1:23">
      <c r="A44" s="29"/>
      <c r="C44" s="4" t="s">
        <v>37</v>
      </c>
      <c r="G44" s="119"/>
      <c r="H44" s="119"/>
      <c r="I44" s="119"/>
      <c r="J44" s="119"/>
      <c r="K44" s="119"/>
      <c r="L44" s="119"/>
      <c r="M44" s="42">
        <f>IF(SUM(M38:M43)-SUM(O38:O43)&lt;0,-(SUM(M38:M43)-SUM(O38:O43)),0)</f>
        <v>32183.661324557404</v>
      </c>
      <c r="N44" s="42"/>
      <c r="O44" s="42">
        <f>IF(SUM(M38:M43)-SUM(O38:O43)&gt;0,SUM(M38:M43)-SUM(O38:O43),0)</f>
        <v>0</v>
      </c>
      <c r="Q44" s="30" t="s">
        <v>38</v>
      </c>
      <c r="S44" s="13"/>
      <c r="U44" s="13"/>
    </row>
    <row r="45" spans="1:23">
      <c r="A45" s="29"/>
      <c r="Q45" s="112">
        <f>+M44+O44</f>
        <v>32183.661324557404</v>
      </c>
      <c r="U45" s="13"/>
    </row>
    <row r="46" spans="1:23" ht="15.75" thickBot="1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9">
        <f>SUM(M38:M44)</f>
        <v>64476.441820135595</v>
      </c>
      <c r="N46" s="35"/>
      <c r="O46" s="39">
        <f>SUM(O38:O44)</f>
        <v>64476.441820135595</v>
      </c>
      <c r="P46" s="35"/>
      <c r="Q46" s="111">
        <f>+M46-O46</f>
        <v>0</v>
      </c>
    </row>
  </sheetData>
  <mergeCells count="3">
    <mergeCell ref="M14:S14"/>
    <mergeCell ref="A1:Q1"/>
    <mergeCell ref="E14:K14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39"/>
  <sheetViews>
    <sheetView zoomScale="80" zoomScaleNormal="80" workbookViewId="0">
      <selection activeCell="G25" sqref="G25"/>
    </sheetView>
  </sheetViews>
  <sheetFormatPr defaultRowHeight="15"/>
  <cols>
    <col min="1" max="1" width="5.5703125" customWidth="1"/>
    <col min="2" max="2" width="12.85546875" customWidth="1"/>
    <col min="5" max="5" width="6.7109375" customWidth="1"/>
    <col min="6" max="6" width="7.140625" customWidth="1"/>
    <col min="7" max="8" width="15.140625" bestFit="1" customWidth="1"/>
    <col min="9" max="9" width="2" customWidth="1"/>
    <col min="10" max="10" width="66" customWidth="1"/>
    <col min="11" max="11" width="20.85546875" customWidth="1"/>
    <col min="13" max="13" width="5.140625" customWidth="1"/>
    <col min="14" max="14" width="5.85546875" customWidth="1"/>
    <col min="15" max="15" width="8.5703125" customWidth="1"/>
    <col min="16" max="16" width="13" bestFit="1" customWidth="1"/>
    <col min="17" max="17" width="5" customWidth="1"/>
    <col min="18" max="18" width="4.140625" customWidth="1"/>
    <col min="19" max="19" width="16.28515625" bestFit="1" customWidth="1"/>
    <col min="20" max="20" width="8.42578125" customWidth="1"/>
    <col min="21" max="21" width="15.7109375" customWidth="1"/>
    <col min="22" max="22" width="2.140625" customWidth="1"/>
    <col min="23" max="23" width="13.42578125" bestFit="1" customWidth="1"/>
    <col min="24" max="24" width="2.7109375" customWidth="1"/>
    <col min="25" max="25" width="14.5703125" bestFit="1" customWidth="1"/>
    <col min="26" max="26" width="2.140625" customWidth="1"/>
    <col min="27" max="27" width="14.5703125" bestFit="1" customWidth="1"/>
    <col min="28" max="28" width="2.140625" customWidth="1"/>
    <col min="29" max="29" width="14.5703125" bestFit="1" customWidth="1"/>
    <col min="30" max="30" width="2.140625" customWidth="1"/>
    <col min="31" max="31" width="12.85546875" customWidth="1"/>
    <col min="32" max="32" width="2.140625" customWidth="1"/>
    <col min="33" max="33" width="13.42578125" bestFit="1" customWidth="1"/>
    <col min="34" max="34" width="2.140625" customWidth="1"/>
    <col min="35" max="35" width="16" customWidth="1"/>
    <col min="36" max="36" width="2.140625" customWidth="1"/>
    <col min="37" max="37" width="15.28515625" bestFit="1" customWidth="1"/>
    <col min="38" max="38" width="2.5703125" customWidth="1"/>
    <col min="39" max="39" width="15.28515625" bestFit="1" customWidth="1"/>
  </cols>
  <sheetData>
    <row r="1" spans="1:17" ht="15" customHeight="1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17" ht="15.75">
      <c r="A2" s="90" t="s">
        <v>40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 ht="15.75">
      <c r="A3" s="9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15.75">
      <c r="A4" s="9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7" ht="15.75">
      <c r="A5" s="9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17">
      <c r="B6" s="1" t="s">
        <v>41</v>
      </c>
      <c r="C6" s="3"/>
      <c r="D6" s="1" t="str">
        <f>Input!A9</f>
        <v>Employer A</v>
      </c>
    </row>
    <row r="7" spans="1:17">
      <c r="B7" s="8"/>
      <c r="D7" s="8"/>
    </row>
    <row r="8" spans="1:17">
      <c r="B8" s="8"/>
      <c r="D8" s="8"/>
    </row>
    <row r="9" spans="1:17">
      <c r="G9" s="4"/>
      <c r="H9" s="4"/>
    </row>
    <row r="10" spans="1:17">
      <c r="G10" s="4"/>
      <c r="H10" s="4"/>
      <c r="J10" s="2"/>
    </row>
    <row r="11" spans="1:17">
      <c r="G11" s="4"/>
      <c r="H11" s="4"/>
      <c r="J11" s="2"/>
    </row>
    <row r="12" spans="1:17">
      <c r="B12" s="91" t="s">
        <v>42</v>
      </c>
      <c r="C12" s="1"/>
    </row>
    <row r="13" spans="1:17">
      <c r="B13" t="s">
        <v>43</v>
      </c>
      <c r="C13" s="8"/>
      <c r="G13" s="50" t="str">
        <f>IF(Input!W28&lt;0,-Input!W28,"")</f>
        <v/>
      </c>
      <c r="H13" s="98">
        <f>IF(Input!W28&lt;0,"",Input!W28)</f>
        <v>149798</v>
      </c>
      <c r="I13" s="9"/>
      <c r="J13" s="2" t="s">
        <v>44</v>
      </c>
      <c r="K13" s="51"/>
    </row>
    <row r="14" spans="1:17">
      <c r="B14" t="s">
        <v>45</v>
      </c>
      <c r="C14" s="8"/>
      <c r="G14" s="50" t="str">
        <f>IF(Input!E28&lt;0,"",Input!E28)</f>
        <v/>
      </c>
      <c r="H14" s="98">
        <f>IF(Input!E28&lt;0,-Input!E28,"")</f>
        <v>862011</v>
      </c>
      <c r="I14" s="9"/>
      <c r="J14" s="2" t="s">
        <v>46</v>
      </c>
      <c r="K14" s="13"/>
    </row>
    <row r="15" spans="1:17">
      <c r="B15" t="s">
        <v>47</v>
      </c>
      <c r="C15" s="8"/>
      <c r="G15" s="50" t="str">
        <f>IF(Input!G28&lt;0,"",Input!G28)</f>
        <v/>
      </c>
      <c r="H15" s="98">
        <f>IF(Input!G28&lt;0,-Input!G28,"")</f>
        <v>396817</v>
      </c>
      <c r="I15" s="9"/>
      <c r="J15" s="2" t="s">
        <v>46</v>
      </c>
      <c r="K15" s="23"/>
    </row>
    <row r="16" spans="1:17">
      <c r="B16" t="s">
        <v>48</v>
      </c>
      <c r="C16" s="8"/>
      <c r="G16" s="50">
        <f>IF(Input!I28&lt;0,"",Input!I28)</f>
        <v>420832</v>
      </c>
      <c r="H16" s="98" t="str">
        <f>IF(Input!I28&lt;0,-Input!I28,"")</f>
        <v/>
      </c>
      <c r="I16" s="9"/>
      <c r="J16" s="2" t="s">
        <v>46</v>
      </c>
      <c r="K16" s="23"/>
    </row>
    <row r="17" spans="2:16">
      <c r="B17" t="s">
        <v>49</v>
      </c>
      <c r="C17" s="8"/>
      <c r="G17" s="98" t="str">
        <f>IF(Input!M28&lt;0,-Input!M28,"")</f>
        <v/>
      </c>
      <c r="H17" s="98">
        <f>IF(Input!M28&lt;0,"",Input!M28)</f>
        <v>0</v>
      </c>
      <c r="I17" s="9"/>
      <c r="J17" s="2" t="s">
        <v>50</v>
      </c>
    </row>
    <row r="18" spans="2:16">
      <c r="B18" t="s">
        <v>51</v>
      </c>
      <c r="C18" s="8"/>
      <c r="G18" s="98">
        <f>IF(Input!Q28&lt;0,-Input!Q28,"")</f>
        <v>28704</v>
      </c>
      <c r="H18" s="50" t="str">
        <f>IF(Input!Q28&lt;0,"",Input!Q28)</f>
        <v/>
      </c>
      <c r="I18" s="9"/>
      <c r="J18" s="2" t="s">
        <v>50</v>
      </c>
      <c r="P18" s="5"/>
    </row>
    <row r="19" spans="2:16">
      <c r="B19" t="s">
        <v>52</v>
      </c>
      <c r="G19" s="50">
        <f>IF(Input!U25&lt;0,"",Input!U25)</f>
        <v>1764108</v>
      </c>
      <c r="H19" s="50" t="str">
        <f>IF(Input!U25&lt;0,-Input!U25,"")</f>
        <v/>
      </c>
      <c r="J19" s="2" t="s">
        <v>53</v>
      </c>
      <c r="P19" s="13"/>
    </row>
    <row r="20" spans="2:16">
      <c r="B20" t="s">
        <v>54</v>
      </c>
      <c r="G20" s="99" t="str">
        <f>IF(Input!I9&lt;0,-Input!I9,"")</f>
        <v/>
      </c>
      <c r="H20" s="99">
        <f>IF(Input!I9&lt;0,"",Input!I9)</f>
        <v>837202</v>
      </c>
      <c r="J20" s="2" t="s">
        <v>55</v>
      </c>
      <c r="P20" s="13"/>
    </row>
    <row r="21" spans="2:16">
      <c r="B21" s="41" t="s">
        <v>56</v>
      </c>
      <c r="C21" s="41"/>
      <c r="D21" s="41"/>
      <c r="G21" s="120"/>
      <c r="H21" s="99"/>
    </row>
    <row r="22" spans="2:16">
      <c r="G22" s="99"/>
      <c r="H22" s="99"/>
    </row>
    <row r="23" spans="2:16">
      <c r="B23" t="s">
        <v>57</v>
      </c>
      <c r="G23" s="121"/>
      <c r="H23" s="100"/>
      <c r="J23" s="2"/>
    </row>
    <row r="24" spans="2:16">
      <c r="B24" t="s">
        <v>58</v>
      </c>
      <c r="G24" s="101"/>
      <c r="H24" s="122">
        <f>+G23</f>
        <v>0</v>
      </c>
    </row>
    <row r="25" spans="2:16">
      <c r="B25" s="10"/>
      <c r="G25" s="9">
        <f>SUM(G13:G22)</f>
        <v>2213644</v>
      </c>
      <c r="H25" s="9">
        <f>SUM(H13:H22)</f>
        <v>2245828</v>
      </c>
      <c r="J25" s="14">
        <f>IF(G25&gt;H25,G25-H25,H25-G25)</f>
        <v>32184</v>
      </c>
      <c r="K25" s="2" t="s">
        <v>59</v>
      </c>
    </row>
    <row r="26" spans="2:16">
      <c r="B26" s="2"/>
      <c r="G26" s="4"/>
      <c r="H26" s="4"/>
      <c r="K26" s="2" t="s">
        <v>60</v>
      </c>
    </row>
    <row r="27" spans="2:16">
      <c r="G27" s="4"/>
      <c r="H27" s="4"/>
      <c r="K27" s="2" t="s">
        <v>61</v>
      </c>
    </row>
    <row r="28" spans="2:16">
      <c r="J28" s="50">
        <f>+Input!Q45</f>
        <v>32183.661324557404</v>
      </c>
      <c r="K28" t="s">
        <v>62</v>
      </c>
    </row>
    <row r="29" spans="2:16">
      <c r="J29" s="49">
        <f>+J25-J28</f>
        <v>0.33867544259555871</v>
      </c>
      <c r="K29" s="2" t="s">
        <v>63</v>
      </c>
    </row>
    <row r="30" spans="2:16">
      <c r="J30" s="13"/>
    </row>
    <row r="33" spans="10:10">
      <c r="J33" s="13"/>
    </row>
    <row r="34" spans="10:10">
      <c r="J34" s="13"/>
    </row>
    <row r="39" spans="10:10">
      <c r="J39" s="102"/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topLeftCell="A12" zoomScaleNormal="100" workbookViewId="0">
      <selection activeCell="M14" sqref="M14"/>
    </sheetView>
  </sheetViews>
  <sheetFormatPr defaultRowHeight="15"/>
  <cols>
    <col min="1" max="1" width="11.28515625" customWidth="1"/>
    <col min="2" max="2" width="12.7109375" bestFit="1" customWidth="1"/>
    <col min="3" max="3" width="11.28515625" bestFit="1" customWidth="1"/>
    <col min="7" max="8" width="12.7109375" bestFit="1" customWidth="1"/>
    <col min="12" max="13" width="12.7109375" bestFit="1" customWidth="1"/>
    <col min="14" max="14" width="10.28515625" bestFit="1" customWidth="1"/>
  </cols>
  <sheetData>
    <row r="1" spans="1:14" ht="22.5">
      <c r="A1" s="138" t="s">
        <v>64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22.5">
      <c r="A2" s="138" t="s">
        <v>65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>
      <c r="A3" s="139" t="s">
        <v>66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9" spans="1:14">
      <c r="K9" s="136" t="s">
        <v>36</v>
      </c>
      <c r="L9" s="136"/>
      <c r="M9" s="136"/>
      <c r="N9" s="136"/>
    </row>
    <row r="10" spans="1:14">
      <c r="I10" s="16"/>
      <c r="K10" s="51"/>
      <c r="L10" s="53"/>
      <c r="M10" s="51">
        <f>+Input!W20</f>
        <v>6431134</v>
      </c>
      <c r="N10" s="51" t="s">
        <v>67</v>
      </c>
    </row>
    <row r="11" spans="1:14">
      <c r="I11" s="16"/>
      <c r="K11" s="51"/>
      <c r="L11" s="56" t="str">
        <f>+'JE''s'!G13</f>
        <v/>
      </c>
      <c r="M11" s="60">
        <f>+'JE''s'!H13</f>
        <v>149798</v>
      </c>
      <c r="N11" s="60" t="s">
        <v>68</v>
      </c>
    </row>
    <row r="12" spans="1:14">
      <c r="I12" s="16"/>
      <c r="K12" s="51"/>
      <c r="L12" s="123"/>
      <c r="M12" s="51"/>
      <c r="N12" s="51"/>
    </row>
    <row r="13" spans="1:14">
      <c r="I13" s="16"/>
      <c r="K13" s="124"/>
      <c r="L13" s="125"/>
      <c r="M13" s="124"/>
      <c r="N13" s="124"/>
    </row>
    <row r="14" spans="1:14">
      <c r="I14" s="16"/>
      <c r="K14" s="51"/>
      <c r="L14" s="56"/>
      <c r="M14" s="55">
        <f>SUM(M10:M13)-SUM(L10:L13)</f>
        <v>6580932</v>
      </c>
      <c r="N14" s="51"/>
    </row>
    <row r="15" spans="1:14">
      <c r="I15" s="16"/>
      <c r="K15" s="51"/>
      <c r="L15" s="123"/>
      <c r="M15" s="51"/>
      <c r="N15" s="51"/>
    </row>
    <row r="16" spans="1:14">
      <c r="I16" s="16"/>
      <c r="K16" s="51"/>
      <c r="L16" s="123"/>
      <c r="M16" s="51"/>
      <c r="N16" s="51"/>
    </row>
    <row r="17" spans="1:14">
      <c r="I17" s="16"/>
      <c r="K17" s="51"/>
      <c r="L17" s="123"/>
      <c r="M17" s="51"/>
      <c r="N17" s="51"/>
    </row>
    <row r="20" spans="1:14">
      <c r="A20" s="137" t="s">
        <v>69</v>
      </c>
      <c r="B20" s="137"/>
      <c r="C20" s="137"/>
      <c r="D20" s="137"/>
      <c r="E20" s="16"/>
      <c r="F20" s="137" t="s">
        <v>69</v>
      </c>
      <c r="G20" s="137"/>
      <c r="H20" s="137"/>
      <c r="I20" s="137"/>
      <c r="J20" s="16"/>
      <c r="K20" s="137" t="s">
        <v>69</v>
      </c>
      <c r="L20" s="137"/>
      <c r="M20" s="137"/>
      <c r="N20" s="137"/>
    </row>
    <row r="21" spans="1:14">
      <c r="A21" s="136" t="s">
        <v>70</v>
      </c>
      <c r="B21" s="136"/>
      <c r="C21" s="136"/>
      <c r="D21" s="136"/>
      <c r="E21" s="16"/>
      <c r="F21" s="136" t="s">
        <v>71</v>
      </c>
      <c r="G21" s="136"/>
      <c r="H21" s="136"/>
      <c r="I21" s="136"/>
      <c r="J21" s="16"/>
      <c r="K21" s="136" t="s">
        <v>72</v>
      </c>
      <c r="L21" s="136"/>
      <c r="M21" s="136"/>
      <c r="N21" s="136"/>
    </row>
    <row r="22" spans="1:14">
      <c r="A22" s="51" t="s">
        <v>67</v>
      </c>
      <c r="B22" s="92">
        <f>+Input!K20+Input!I9</f>
        <v>4072588</v>
      </c>
      <c r="C22" s="51"/>
      <c r="D22" s="51"/>
      <c r="E22" s="51"/>
      <c r="F22" s="51"/>
      <c r="G22" s="126"/>
      <c r="H22" s="51">
        <f>+Input!S20</f>
        <v>28704</v>
      </c>
      <c r="I22" s="51" t="s">
        <v>67</v>
      </c>
      <c r="J22" s="51"/>
      <c r="K22" s="51" t="s">
        <v>68</v>
      </c>
      <c r="L22" s="53">
        <f>+'JE''s'!G19</f>
        <v>1764108</v>
      </c>
      <c r="M22" s="51" t="str">
        <f>+'JE''s'!H19</f>
        <v/>
      </c>
      <c r="N22" s="40"/>
    </row>
    <row r="23" spans="1:14">
      <c r="A23" s="51" t="s">
        <v>68</v>
      </c>
      <c r="B23" s="56"/>
      <c r="C23" s="51">
        <f>+Input!I9</f>
        <v>837202</v>
      </c>
      <c r="D23" s="51" t="s">
        <v>68</v>
      </c>
      <c r="E23" s="51"/>
      <c r="F23" s="51" t="s">
        <v>68</v>
      </c>
      <c r="G23" s="56">
        <f>'JE''s'!G18</f>
        <v>28704</v>
      </c>
      <c r="H23" s="50" t="str">
        <f>+'JE''s'!H18</f>
        <v/>
      </c>
      <c r="I23" t="s">
        <v>68</v>
      </c>
      <c r="J23" s="51"/>
      <c r="K23" s="50"/>
      <c r="L23" s="56" t="str">
        <f>+'JE''s'!G20</f>
        <v/>
      </c>
      <c r="M23" s="51"/>
      <c r="N23" s="51"/>
    </row>
    <row r="24" spans="1:14">
      <c r="A24" s="51" t="s">
        <v>68</v>
      </c>
      <c r="B24" s="56" t="str">
        <f>+'JE''s'!G15</f>
        <v/>
      </c>
      <c r="C24" s="40">
        <f>+'JE''s'!H15</f>
        <v>396817</v>
      </c>
      <c r="D24" s="51"/>
      <c r="E24" s="51"/>
      <c r="F24" s="51" t="s">
        <v>68</v>
      </c>
      <c r="G24" s="56" t="str">
        <f>+'JE''s'!G17</f>
        <v/>
      </c>
      <c r="H24" s="51">
        <f>+'JE''s'!H17</f>
        <v>0</v>
      </c>
      <c r="I24" s="51"/>
      <c r="J24" s="51"/>
      <c r="K24" s="51"/>
      <c r="L24" s="123"/>
      <c r="M24" s="51"/>
      <c r="N24" s="51"/>
    </row>
    <row r="25" spans="1:14">
      <c r="A25" s="51"/>
      <c r="B25" s="123" t="str">
        <f>+'JE''s'!G14</f>
        <v/>
      </c>
      <c r="C25" s="51">
        <f>+'JE''s'!H14</f>
        <v>862011</v>
      </c>
      <c r="E25" s="51"/>
      <c r="F25" s="51"/>
      <c r="G25" s="123"/>
      <c r="J25" s="51"/>
      <c r="K25" s="51"/>
      <c r="L25" s="123"/>
      <c r="M25" s="51"/>
      <c r="N25" s="51"/>
    </row>
    <row r="26" spans="1:14">
      <c r="A26" s="51"/>
      <c r="B26" s="56">
        <f>+'JE''s'!G16</f>
        <v>420832</v>
      </c>
      <c r="C26" s="51" t="str">
        <f>+'JE''s'!H16</f>
        <v/>
      </c>
      <c r="D26" s="51"/>
      <c r="E26" s="51"/>
      <c r="F26" s="51"/>
      <c r="G26" s="123"/>
      <c r="H26" s="51"/>
      <c r="I26" s="51"/>
      <c r="J26" s="51"/>
      <c r="K26" s="124"/>
      <c r="L26" s="125"/>
      <c r="M26" s="124"/>
      <c r="N26" s="124"/>
    </row>
    <row r="27" spans="1:14">
      <c r="A27" s="51"/>
      <c r="B27" s="56"/>
      <c r="C27" s="51"/>
      <c r="D27" s="51"/>
      <c r="E27" s="51"/>
      <c r="F27" s="124"/>
      <c r="G27" s="125"/>
      <c r="H27" s="124"/>
      <c r="I27" s="124"/>
      <c r="J27" s="51"/>
      <c r="K27" s="51"/>
      <c r="L27" s="123">
        <f>+L22</f>
        <v>1764108</v>
      </c>
      <c r="M27" s="55"/>
      <c r="N27" s="51"/>
    </row>
    <row r="28" spans="1:14">
      <c r="A28" s="124"/>
      <c r="B28" s="125"/>
      <c r="C28" s="127"/>
      <c r="D28" s="124"/>
      <c r="E28" s="51"/>
      <c r="F28" s="57"/>
      <c r="G28" s="56">
        <f>SUM(G22:G27)</f>
        <v>28704</v>
      </c>
      <c r="H28" s="57">
        <f>SUM(H22:H27)</f>
        <v>28704</v>
      </c>
      <c r="I28" s="57"/>
      <c r="J28" s="57"/>
      <c r="K28" s="57"/>
      <c r="L28" s="56"/>
      <c r="M28" s="57"/>
      <c r="N28" s="57"/>
    </row>
    <row r="29" spans="1:14">
      <c r="A29" s="51"/>
      <c r="B29" s="53">
        <f>SUM(B22:B28)</f>
        <v>4493420</v>
      </c>
      <c r="C29" s="54">
        <f>SUM(C22:C28)</f>
        <v>2096030</v>
      </c>
      <c r="D29" s="128"/>
      <c r="E29" s="51"/>
      <c r="F29" s="57"/>
      <c r="G29" s="56"/>
      <c r="H29" s="57"/>
      <c r="I29" s="57"/>
      <c r="J29" s="57"/>
      <c r="K29" s="57"/>
      <c r="L29" s="56"/>
      <c r="M29" s="57"/>
      <c r="N29" s="57"/>
    </row>
    <row r="30" spans="1:14">
      <c r="A30" s="51"/>
      <c r="B30" s="56"/>
      <c r="C30" s="54"/>
      <c r="D30" s="119"/>
      <c r="E30" s="51"/>
      <c r="F30" s="51"/>
      <c r="G30" s="129"/>
      <c r="H30" s="51"/>
      <c r="I30" s="51"/>
      <c r="J30" s="51"/>
      <c r="K30" s="51"/>
      <c r="L30" s="129"/>
      <c r="M30" s="51"/>
      <c r="N30" s="51"/>
    </row>
    <row r="31" spans="1:14">
      <c r="A31" s="51" t="s">
        <v>73</v>
      </c>
      <c r="B31" s="55">
        <f>+B29-C29</f>
        <v>2397390</v>
      </c>
      <c r="C31" s="51"/>
      <c r="D31" s="51"/>
      <c r="E31" s="51"/>
      <c r="F31" s="51"/>
      <c r="G31" s="51" t="s">
        <v>73</v>
      </c>
      <c r="H31" s="55">
        <f>+H28-G28</f>
        <v>0</v>
      </c>
      <c r="I31" s="51"/>
      <c r="J31" s="51"/>
      <c r="K31" s="51"/>
      <c r="L31" s="51"/>
      <c r="M31" s="51"/>
      <c r="N31" s="51"/>
    </row>
    <row r="37" spans="1:14">
      <c r="A37" s="136" t="s">
        <v>74</v>
      </c>
      <c r="B37" s="136"/>
      <c r="C37" s="136"/>
      <c r="D37" s="136"/>
      <c r="F37" s="136" t="s">
        <v>75</v>
      </c>
      <c r="G37" s="136"/>
      <c r="H37" s="136"/>
      <c r="I37" s="136"/>
      <c r="K37" s="137"/>
      <c r="L37" s="137"/>
      <c r="M37" s="137"/>
      <c r="N37" s="137"/>
    </row>
    <row r="38" spans="1:14">
      <c r="A38" s="51"/>
      <c r="B38" s="126" t="str">
        <f>+'JE''s'!G20</f>
        <v/>
      </c>
      <c r="C38" s="51">
        <f>+'JE''s'!H20</f>
        <v>837202</v>
      </c>
      <c r="D38" s="51"/>
      <c r="E38" s="51"/>
      <c r="F38" s="51"/>
      <c r="G38" s="53">
        <f>+'JE''s'!H20</f>
        <v>837202</v>
      </c>
      <c r="H38" s="51"/>
      <c r="I38" s="51"/>
      <c r="J38" s="51"/>
      <c r="K38" s="119"/>
      <c r="L38" s="54"/>
      <c r="M38" s="119"/>
      <c r="N38" s="119"/>
    </row>
    <row r="39" spans="1:14">
      <c r="A39" s="51"/>
      <c r="B39" s="123"/>
      <c r="C39" s="51"/>
      <c r="D39" s="51"/>
      <c r="E39" s="51"/>
      <c r="F39" s="51"/>
      <c r="G39" s="123"/>
      <c r="H39" s="51"/>
      <c r="I39" s="51"/>
      <c r="J39" s="51"/>
      <c r="K39" s="119"/>
      <c r="L39" s="129"/>
      <c r="M39" s="119"/>
      <c r="N39" s="119"/>
    </row>
    <row r="40" spans="1:14">
      <c r="A40" s="51"/>
      <c r="B40" s="123"/>
      <c r="C40" s="51"/>
      <c r="D40" s="51"/>
      <c r="E40" s="51"/>
      <c r="F40" s="51"/>
      <c r="G40" s="123"/>
      <c r="H40" s="51"/>
      <c r="I40" s="51"/>
      <c r="J40" s="51"/>
      <c r="K40" s="119"/>
      <c r="L40" s="54"/>
      <c r="M40" s="119"/>
      <c r="N40" s="119"/>
    </row>
    <row r="41" spans="1:14">
      <c r="A41" s="51"/>
      <c r="B41" s="123"/>
      <c r="C41" s="51"/>
      <c r="D41" s="51"/>
      <c r="E41" s="51"/>
      <c r="F41" s="124"/>
      <c r="G41" s="125"/>
      <c r="H41" s="124"/>
      <c r="I41" s="124"/>
      <c r="J41" s="51"/>
      <c r="K41" s="119"/>
      <c r="L41" s="129"/>
      <c r="M41" s="119"/>
      <c r="N41" s="119"/>
    </row>
    <row r="42" spans="1:14">
      <c r="A42" s="51"/>
      <c r="B42" s="123"/>
      <c r="C42" s="51"/>
      <c r="D42" s="51"/>
      <c r="E42" s="51"/>
      <c r="F42" s="51"/>
      <c r="G42" s="123">
        <f>SUM(G38:G41)</f>
        <v>837202</v>
      </c>
      <c r="H42" s="55">
        <f>SUM(H38:H41)</f>
        <v>0</v>
      </c>
      <c r="I42" s="51"/>
      <c r="J42" s="51"/>
      <c r="K42" s="119"/>
      <c r="L42" s="129"/>
      <c r="M42" s="119"/>
      <c r="N42" s="119"/>
    </row>
    <row r="43" spans="1:14">
      <c r="A43" s="51"/>
      <c r="B43" s="123"/>
      <c r="C43" s="51"/>
      <c r="D43" s="51"/>
      <c r="E43" s="51"/>
      <c r="F43" s="51"/>
      <c r="G43" s="123"/>
      <c r="H43" s="51"/>
      <c r="I43" s="51"/>
      <c r="J43" s="51"/>
      <c r="K43" s="119"/>
      <c r="L43" s="129"/>
      <c r="M43" s="119"/>
      <c r="N43" s="119"/>
    </row>
    <row r="44" spans="1:14">
      <c r="A44" s="51"/>
      <c r="B44" s="123"/>
      <c r="C44" s="51"/>
      <c r="D44" s="51"/>
      <c r="E44" s="51"/>
      <c r="F44" s="51"/>
      <c r="G44" s="123"/>
      <c r="H44" s="51"/>
      <c r="I44" s="51"/>
      <c r="J44" s="51"/>
      <c r="K44" s="119"/>
      <c r="L44" s="129"/>
      <c r="M44" s="119"/>
      <c r="N44" s="119"/>
    </row>
    <row r="45" spans="1:14">
      <c r="A45" s="51"/>
      <c r="B45" s="123"/>
      <c r="C45" s="51"/>
      <c r="D45" s="51"/>
      <c r="E45" s="51"/>
      <c r="F45" s="51"/>
      <c r="G45" s="123"/>
      <c r="H45" s="51"/>
      <c r="I45" s="51"/>
      <c r="J45" s="51"/>
      <c r="K45" s="119"/>
      <c r="L45" s="129"/>
      <c r="M45" s="119"/>
      <c r="N45" s="119"/>
    </row>
    <row r="46" spans="1:14">
      <c r="A46" s="51"/>
      <c r="B46" s="129"/>
      <c r="C46" s="51"/>
      <c r="D46" s="51"/>
      <c r="E46" s="51"/>
      <c r="F46" s="51"/>
      <c r="G46" s="129"/>
      <c r="H46" s="51"/>
      <c r="I46" s="51"/>
      <c r="J46" s="51"/>
      <c r="K46" s="51"/>
      <c r="L46" s="129"/>
      <c r="M46" s="51"/>
      <c r="N46" s="51"/>
    </row>
    <row r="47" spans="1:14">
      <c r="A47" s="51"/>
      <c r="B47" s="129"/>
      <c r="C47" s="51"/>
      <c r="D47" s="51"/>
      <c r="E47" s="51"/>
      <c r="F47" s="51"/>
      <c r="G47" s="129"/>
      <c r="H47" s="51"/>
      <c r="I47" s="51"/>
      <c r="J47" s="51"/>
      <c r="K47" s="51"/>
      <c r="L47" s="129"/>
      <c r="M47" s="51"/>
      <c r="N47" s="51"/>
    </row>
    <row r="48" spans="1:14">
      <c r="A48" s="51"/>
      <c r="B48" s="129"/>
      <c r="C48" s="51"/>
      <c r="D48" s="51"/>
      <c r="E48" s="51"/>
      <c r="F48" s="51"/>
      <c r="G48" s="129"/>
      <c r="H48" s="51"/>
      <c r="I48" s="51"/>
      <c r="J48" s="51"/>
      <c r="K48" s="51"/>
      <c r="L48" s="129"/>
      <c r="M48" s="51"/>
      <c r="N48" s="51"/>
    </row>
    <row r="49" spans="1:14">
      <c r="A49" s="51"/>
      <c r="B49" s="129"/>
      <c r="C49" s="51"/>
      <c r="D49" s="51"/>
      <c r="E49" s="51"/>
      <c r="F49" s="51"/>
      <c r="G49" s="129"/>
      <c r="H49" s="51"/>
      <c r="I49" s="51"/>
      <c r="J49" s="51"/>
      <c r="K49" s="51"/>
      <c r="L49" s="129"/>
      <c r="M49" s="51"/>
      <c r="N49" s="51"/>
    </row>
    <row r="50" spans="1:14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119"/>
      <c r="L50" s="119"/>
      <c r="M50" s="119"/>
      <c r="N50" s="119"/>
    </row>
    <row r="51" spans="1:14">
      <c r="A51" s="58" t="s">
        <v>76</v>
      </c>
    </row>
    <row r="53" spans="1:14">
      <c r="A53" t="s">
        <v>77</v>
      </c>
    </row>
    <row r="55" spans="1:14">
      <c r="A55" t="s">
        <v>78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9"/>
  <sheetViews>
    <sheetView zoomScale="90" zoomScaleNormal="90" workbookViewId="0">
      <selection activeCell="B8" sqref="B8"/>
    </sheetView>
  </sheetViews>
  <sheetFormatPr defaultRowHeight="15"/>
  <cols>
    <col min="1" max="1" width="14.85546875" customWidth="1"/>
    <col min="2" max="2" width="21" customWidth="1"/>
    <col min="3" max="3" width="13.140625" customWidth="1"/>
    <col min="4" max="4" width="19.85546875" customWidth="1"/>
    <col min="5" max="5" width="13" customWidth="1"/>
    <col min="6" max="6" width="19.85546875" customWidth="1"/>
    <col min="7" max="7" width="13.140625" customWidth="1"/>
    <col min="8" max="8" width="18.28515625" customWidth="1"/>
    <col min="9" max="9" width="14.42578125" customWidth="1"/>
    <col min="10" max="10" width="19.85546875" customWidth="1"/>
    <col min="11" max="11" width="14.42578125" customWidth="1"/>
    <col min="12" max="12" width="19.85546875" customWidth="1"/>
    <col min="13" max="13" width="14.28515625" customWidth="1"/>
    <col min="14" max="14" width="14.42578125" customWidth="1"/>
    <col min="15" max="15" width="14.28515625" customWidth="1"/>
    <col min="16" max="16" width="17.7109375" customWidth="1"/>
    <col min="17" max="17" width="19.140625" customWidth="1"/>
    <col min="18" max="18" width="3" customWidth="1"/>
    <col min="19" max="19" width="17" customWidth="1"/>
    <col min="21" max="21" width="13.140625" bestFit="1" customWidth="1"/>
    <col min="24" max="24" width="13.140625" bestFit="1" customWidth="1"/>
    <col min="25" max="25" width="11" bestFit="1" customWidth="1"/>
  </cols>
  <sheetData>
    <row r="1" spans="1:24">
      <c r="A1" t="s">
        <v>79</v>
      </c>
      <c r="D1" s="61">
        <f>+Q15+Q36+Q55</f>
        <v>476794132.52899945</v>
      </c>
      <c r="F1" s="52" t="s">
        <v>93</v>
      </c>
    </row>
    <row r="2" spans="1:24">
      <c r="D2" s="13"/>
      <c r="F2" s="52" t="s">
        <v>80</v>
      </c>
    </row>
    <row r="3" spans="1:24">
      <c r="D3" s="13"/>
    </row>
    <row r="4" spans="1:24">
      <c r="D4" s="13"/>
    </row>
    <row r="5" spans="1:24" ht="19.5">
      <c r="A5" s="62" t="s">
        <v>34</v>
      </c>
    </row>
    <row r="6" spans="1:24">
      <c r="B6">
        <v>5</v>
      </c>
      <c r="D6">
        <v>5</v>
      </c>
      <c r="F6">
        <v>5</v>
      </c>
      <c r="H6">
        <v>5</v>
      </c>
      <c r="J6">
        <v>5</v>
      </c>
      <c r="L6">
        <v>5</v>
      </c>
      <c r="N6">
        <v>5</v>
      </c>
    </row>
    <row r="7" spans="1:24" ht="30">
      <c r="B7" s="63">
        <v>2017</v>
      </c>
      <c r="C7" s="64" t="s">
        <v>81</v>
      </c>
      <c r="D7" s="63">
        <v>2018</v>
      </c>
      <c r="E7" s="64" t="s">
        <v>81</v>
      </c>
      <c r="F7" s="63">
        <v>2019</v>
      </c>
      <c r="G7" s="64" t="s">
        <v>81</v>
      </c>
      <c r="H7" s="63">
        <v>2020</v>
      </c>
      <c r="I7" s="64" t="s">
        <v>81</v>
      </c>
      <c r="J7" s="5">
        <v>2021</v>
      </c>
      <c r="K7" s="64" t="s">
        <v>81</v>
      </c>
      <c r="L7" s="5">
        <v>2022</v>
      </c>
      <c r="M7" s="64" t="s">
        <v>81</v>
      </c>
      <c r="N7" s="5">
        <v>2023</v>
      </c>
      <c r="O7" s="64" t="s">
        <v>81</v>
      </c>
      <c r="P7" s="5"/>
      <c r="Q7" s="87" t="s">
        <v>82</v>
      </c>
      <c r="R7" s="83"/>
      <c r="S7" s="88" t="s">
        <v>83</v>
      </c>
    </row>
    <row r="8" spans="1:24">
      <c r="B8" s="65">
        <v>-716714605</v>
      </c>
      <c r="C8" s="5"/>
      <c r="D8" s="65">
        <v>-208254148</v>
      </c>
      <c r="F8" s="65">
        <v>-166279620</v>
      </c>
      <c r="H8" s="65">
        <v>740716649</v>
      </c>
      <c r="J8" s="65">
        <v>-3521129416</v>
      </c>
      <c r="L8" s="65">
        <v>3444885678</v>
      </c>
      <c r="M8" s="66"/>
      <c r="N8" s="65">
        <v>-540049791</v>
      </c>
      <c r="O8" s="66"/>
      <c r="P8" s="66"/>
      <c r="Q8" s="5"/>
    </row>
    <row r="9" spans="1:24">
      <c r="A9">
        <v>2017</v>
      </c>
      <c r="B9" s="67">
        <f>$B$8/$B$6</f>
        <v>-143342921</v>
      </c>
      <c r="C9" s="68">
        <f>+B8-B9</f>
        <v>-573371684</v>
      </c>
      <c r="D9" s="67"/>
      <c r="E9" s="59"/>
      <c r="F9" s="69"/>
      <c r="H9" s="67"/>
      <c r="J9" s="67"/>
      <c r="L9" s="84"/>
      <c r="M9" s="84"/>
      <c r="N9" s="84"/>
      <c r="O9" s="84"/>
      <c r="P9" s="66"/>
      <c r="Q9" s="13">
        <f>+B9+D9</f>
        <v>-143342921</v>
      </c>
      <c r="S9" s="13">
        <f>+C9+E9</f>
        <v>-573371684</v>
      </c>
      <c r="U9" s="13"/>
      <c r="X9" s="13"/>
    </row>
    <row r="10" spans="1:24">
      <c r="A10">
        <f>+A9+1</f>
        <v>2018</v>
      </c>
      <c r="B10" s="67">
        <f>$B$8/$B$6</f>
        <v>-143342921</v>
      </c>
      <c r="C10" s="68">
        <f>+C9-B10</f>
        <v>-430028763</v>
      </c>
      <c r="D10" s="93">
        <f>$D$8/$D$6</f>
        <v>-41650829.600000001</v>
      </c>
      <c r="E10" s="59">
        <f>+D8-D10</f>
        <v>-166603318.40000001</v>
      </c>
      <c r="F10" s="94"/>
      <c r="G10" s="59"/>
      <c r="H10" s="67"/>
      <c r="J10" s="67"/>
      <c r="L10" s="84"/>
      <c r="M10" s="84"/>
      <c r="N10" s="84"/>
      <c r="O10" s="84"/>
      <c r="P10" s="66"/>
      <c r="Q10" s="13">
        <f>+B10+D10+F10</f>
        <v>-184993750.59999999</v>
      </c>
      <c r="S10" s="13">
        <f>+C10+E10+G10</f>
        <v>-596632081.39999998</v>
      </c>
    </row>
    <row r="11" spans="1:24">
      <c r="A11">
        <f t="shared" ref="A11:A18" si="0">+A10+1</f>
        <v>2019</v>
      </c>
      <c r="B11" s="67">
        <f>$B$8/$B$6</f>
        <v>-143342921</v>
      </c>
      <c r="C11" s="68">
        <f t="shared" ref="C11:C13" si="1">+C10-B11</f>
        <v>-286685842</v>
      </c>
      <c r="D11" s="93">
        <f>$D$8/$D$6</f>
        <v>-41650829.600000001</v>
      </c>
      <c r="E11" s="59">
        <f>+E10-D11</f>
        <v>-124952488.80000001</v>
      </c>
      <c r="F11" s="94">
        <f>$F$8/$F$6</f>
        <v>-33255924</v>
      </c>
      <c r="G11" s="59">
        <f>F8-F11</f>
        <v>-133023696</v>
      </c>
      <c r="H11" s="94"/>
      <c r="I11" s="59"/>
      <c r="J11" s="93"/>
      <c r="K11" s="59"/>
      <c r="L11" s="84"/>
      <c r="M11" s="84"/>
      <c r="N11" s="84"/>
      <c r="O11" s="84"/>
      <c r="P11" s="66"/>
      <c r="Q11" s="13">
        <f>+B11+D11+F11+H11</f>
        <v>-218249674.59999999</v>
      </c>
      <c r="S11" s="13">
        <f>+C11+E11+G11+I11</f>
        <v>-544662026.79999995</v>
      </c>
      <c r="X11" s="13"/>
    </row>
    <row r="12" spans="1:24">
      <c r="A12">
        <f t="shared" si="0"/>
        <v>2020</v>
      </c>
      <c r="B12" s="67">
        <f>$B$8/$B$6</f>
        <v>-143342921</v>
      </c>
      <c r="C12" s="68">
        <f t="shared" si="1"/>
        <v>-143342921</v>
      </c>
      <c r="D12" s="93">
        <f>$D$8/$D$6</f>
        <v>-41650829.600000001</v>
      </c>
      <c r="E12" s="59">
        <f t="shared" ref="E12:E14" si="2">+E11-D12</f>
        <v>-83301659.200000018</v>
      </c>
      <c r="F12" s="94">
        <f>$F$8/$F$6</f>
        <v>-33255924</v>
      </c>
      <c r="G12" s="59">
        <f>+G11-F12</f>
        <v>-99767772</v>
      </c>
      <c r="H12" s="94">
        <f>+$H$8/$H$6</f>
        <v>148143329.80000001</v>
      </c>
      <c r="I12" s="59">
        <f>+H8-H12</f>
        <v>592573319.20000005</v>
      </c>
      <c r="J12" s="94"/>
      <c r="K12" s="59"/>
      <c r="L12" s="94"/>
      <c r="M12" s="94"/>
      <c r="N12" s="94"/>
      <c r="O12" s="94"/>
      <c r="P12" s="66"/>
      <c r="Q12" s="13">
        <f>+B12+D12+F12+H12+J12</f>
        <v>-70106344.799999982</v>
      </c>
      <c r="S12" s="13">
        <f>+C12+E12+G12+I12+K12</f>
        <v>266160967</v>
      </c>
    </row>
    <row r="13" spans="1:24">
      <c r="A13">
        <f t="shared" si="0"/>
        <v>2021</v>
      </c>
      <c r="B13" s="93">
        <f>$B$8/$B$6</f>
        <v>-143342921</v>
      </c>
      <c r="C13" s="58">
        <f t="shared" si="1"/>
        <v>0</v>
      </c>
      <c r="D13" s="93">
        <f>$D$8/$D$6</f>
        <v>-41650829.600000001</v>
      </c>
      <c r="E13" s="59">
        <f t="shared" si="2"/>
        <v>-41650829.600000016</v>
      </c>
      <c r="F13" s="68">
        <f>$F$8/$F$6</f>
        <v>-33255924</v>
      </c>
      <c r="G13" s="59">
        <f>+G12-F13</f>
        <v>-66511848</v>
      </c>
      <c r="H13" s="94">
        <f>+$H$8/$H$6</f>
        <v>148143329.80000001</v>
      </c>
      <c r="I13" s="59">
        <f>+I12-H13</f>
        <v>444429989.40000004</v>
      </c>
      <c r="J13" s="94">
        <f>$J$8/$J$6</f>
        <v>-704225883.20000005</v>
      </c>
      <c r="K13" s="59">
        <f>+J8-J13</f>
        <v>-2816903532.8000002</v>
      </c>
      <c r="L13" s="94"/>
      <c r="M13" s="94"/>
      <c r="N13" s="94"/>
      <c r="O13" s="94"/>
      <c r="P13" s="66"/>
      <c r="Q13" s="13">
        <f>+B13+D13+F13+H13+J13+L13</f>
        <v>-774332228</v>
      </c>
      <c r="S13" s="13">
        <f>G13+I13+K13+M13+E13</f>
        <v>-2480636221</v>
      </c>
    </row>
    <row r="14" spans="1:24">
      <c r="A14">
        <f t="shared" si="0"/>
        <v>2022</v>
      </c>
      <c r="B14" s="13"/>
      <c r="D14" s="66">
        <f>$D$8/$D$6</f>
        <v>-41650829.600000001</v>
      </c>
      <c r="E14" s="58">
        <f t="shared" si="2"/>
        <v>0</v>
      </c>
      <c r="F14" s="66">
        <f>$F$8/$F$6</f>
        <v>-33255924</v>
      </c>
      <c r="G14" s="59">
        <f>+G13-F14</f>
        <v>-33255924</v>
      </c>
      <c r="H14" s="94">
        <f>+$H$8/$H$6</f>
        <v>148143329.80000001</v>
      </c>
      <c r="I14" s="59">
        <f t="shared" ref="I14:I16" si="3">+I13-H14</f>
        <v>296286659.60000002</v>
      </c>
      <c r="J14" s="94">
        <f>$J$8/$J$6</f>
        <v>-704225883.20000005</v>
      </c>
      <c r="K14" s="59">
        <f>+K13-J14</f>
        <v>-2112677649.6000001</v>
      </c>
      <c r="L14" s="94">
        <f>$L$8/$L$6</f>
        <v>688977135.60000002</v>
      </c>
      <c r="M14" s="94">
        <f>+L8-L14</f>
        <v>2755908542.4000001</v>
      </c>
      <c r="N14" s="84"/>
      <c r="P14" s="66"/>
      <c r="Q14" s="147">
        <f>+B14+D14+F14+H14+J14+L14</f>
        <v>57987828.600000024</v>
      </c>
      <c r="S14" s="147">
        <f>I14+K14+M14+G14</f>
        <v>906261628.4000001</v>
      </c>
    </row>
    <row r="15" spans="1:24">
      <c r="A15">
        <f t="shared" si="0"/>
        <v>2023</v>
      </c>
      <c r="B15" s="13"/>
      <c r="D15" s="74"/>
      <c r="F15" s="67">
        <f>$F$8/$F$6</f>
        <v>-33255924</v>
      </c>
      <c r="G15" s="52">
        <f>+G14-F15</f>
        <v>0</v>
      </c>
      <c r="H15" s="84">
        <f>+$H$8/$H$6</f>
        <v>148143329.80000001</v>
      </c>
      <c r="I15" s="71">
        <f t="shared" si="3"/>
        <v>148143329.80000001</v>
      </c>
      <c r="J15" s="84">
        <f>$J$8/$J$6</f>
        <v>-704225883.20000005</v>
      </c>
      <c r="K15" s="71">
        <f t="shared" ref="K15:K17" si="4">+K14-J15</f>
        <v>-1408451766.4000001</v>
      </c>
      <c r="L15" s="84">
        <f t="shared" ref="L15:L18" si="5">$L$8/$L$6</f>
        <v>688977135.60000002</v>
      </c>
      <c r="M15" s="105">
        <f>+M14-L15</f>
        <v>2066931406.8000002</v>
      </c>
      <c r="N15" s="66">
        <f>$N$8/$N$6</f>
        <v>-108009958.2</v>
      </c>
      <c r="O15" s="105">
        <f>+N8-N15</f>
        <v>-432039832.80000001</v>
      </c>
      <c r="P15" s="66"/>
      <c r="Q15" s="72">
        <f>+H15+J15+L15+F15+N15</f>
        <v>-8371300.0000000745</v>
      </c>
      <c r="S15" s="73">
        <f>+K15+M15+I15+O15</f>
        <v>374583137.40000004</v>
      </c>
    </row>
    <row r="16" spans="1:24">
      <c r="A16">
        <f t="shared" si="0"/>
        <v>2024</v>
      </c>
      <c r="B16" s="13"/>
      <c r="D16" s="74"/>
      <c r="F16" s="74"/>
      <c r="H16" s="74">
        <f>+$H$8/$H$6</f>
        <v>148143329.80000001</v>
      </c>
      <c r="I16">
        <f t="shared" si="3"/>
        <v>0</v>
      </c>
      <c r="J16" s="84">
        <f>$J$8/$J$6</f>
        <v>-704225883.20000005</v>
      </c>
      <c r="K16" s="13">
        <f t="shared" si="4"/>
        <v>-704225883.20000005</v>
      </c>
      <c r="L16" s="66">
        <f t="shared" si="5"/>
        <v>688977135.60000002</v>
      </c>
      <c r="M16" s="84">
        <f>+M15-L16</f>
        <v>1377954271.2000003</v>
      </c>
      <c r="N16" s="66">
        <f t="shared" ref="N16:N19" si="6">$N$8/$N$6</f>
        <v>-108009958.2</v>
      </c>
      <c r="O16" s="84">
        <f>+O15-N16</f>
        <v>-324029874.60000002</v>
      </c>
      <c r="P16" s="66"/>
      <c r="Q16" s="13">
        <f>+J16+L16+H16+N16</f>
        <v>24884623.999999985</v>
      </c>
      <c r="S16" s="13">
        <f>+M16+K16+O16</f>
        <v>349698513.40000021</v>
      </c>
    </row>
    <row r="17" spans="1:24">
      <c r="A17">
        <f t="shared" si="0"/>
        <v>2025</v>
      </c>
      <c r="B17" s="13"/>
      <c r="D17" s="74"/>
      <c r="F17" s="74"/>
      <c r="H17" s="74"/>
      <c r="J17" s="66">
        <f>$J$8/$J$6</f>
        <v>-704225883.20000005</v>
      </c>
      <c r="K17" s="13">
        <f t="shared" si="4"/>
        <v>0</v>
      </c>
      <c r="L17" s="66">
        <f t="shared" si="5"/>
        <v>688977135.60000002</v>
      </c>
      <c r="M17" s="66">
        <f t="shared" ref="M17:M18" si="7">+M16-L17</f>
        <v>688977135.60000026</v>
      </c>
      <c r="N17" s="66">
        <f t="shared" si="6"/>
        <v>-108009958.2</v>
      </c>
      <c r="O17" s="84">
        <f>+O16-N17</f>
        <v>-216019916.40000004</v>
      </c>
      <c r="P17" s="66"/>
      <c r="Q17" s="13">
        <f>+L17+J17+N17</f>
        <v>-123258705.80000003</v>
      </c>
      <c r="S17" s="13">
        <f>+M17+K17+O17</f>
        <v>472957219.20000023</v>
      </c>
    </row>
    <row r="18" spans="1:24">
      <c r="A18">
        <f t="shared" si="0"/>
        <v>2026</v>
      </c>
      <c r="B18" s="140"/>
      <c r="C18" s="141"/>
      <c r="D18" s="74"/>
      <c r="E18" s="141"/>
      <c r="F18" s="78"/>
      <c r="G18" s="141"/>
      <c r="H18" s="74"/>
      <c r="I18" s="141"/>
      <c r="J18" s="66"/>
      <c r="K18" s="140"/>
      <c r="L18" s="66">
        <f t="shared" si="5"/>
        <v>688977135.60000002</v>
      </c>
      <c r="M18" s="66">
        <f t="shared" si="7"/>
        <v>0</v>
      </c>
      <c r="N18" s="66">
        <f t="shared" si="6"/>
        <v>-108009958.2</v>
      </c>
      <c r="O18" s="84">
        <f t="shared" ref="O18:O19" si="8">+O17-N18</f>
        <v>-108009958.20000003</v>
      </c>
      <c r="P18" s="66"/>
      <c r="Q18" s="66">
        <f>+L18+N18</f>
        <v>580967177.39999998</v>
      </c>
      <c r="S18" s="13">
        <f>+M18+O18</f>
        <v>-108009958.20000003</v>
      </c>
    </row>
    <row r="19" spans="1:24">
      <c r="A19">
        <v>2027</v>
      </c>
      <c r="B19" s="77"/>
      <c r="C19" s="141"/>
      <c r="D19" s="75"/>
      <c r="E19" s="141"/>
      <c r="F19" s="76"/>
      <c r="G19" s="141"/>
      <c r="H19" s="75"/>
      <c r="I19" s="141"/>
      <c r="J19" s="103"/>
      <c r="K19" s="140"/>
      <c r="L19" s="103"/>
      <c r="M19" s="66"/>
      <c r="N19" s="103">
        <f t="shared" si="6"/>
        <v>-108009958.2</v>
      </c>
      <c r="O19" s="84">
        <f t="shared" si="8"/>
        <v>0</v>
      </c>
      <c r="P19" s="66"/>
      <c r="Q19" s="103">
        <f>N19</f>
        <v>-108009958.2</v>
      </c>
      <c r="S19" s="77">
        <f>O19</f>
        <v>0</v>
      </c>
    </row>
    <row r="20" spans="1:24">
      <c r="D20" s="74"/>
      <c r="F20" s="78"/>
      <c r="H20" s="74"/>
      <c r="J20" s="66"/>
      <c r="L20" s="66"/>
      <c r="M20" s="66"/>
      <c r="N20" s="66"/>
      <c r="O20" s="66"/>
      <c r="P20" s="66"/>
      <c r="Q20" s="13"/>
    </row>
    <row r="21" spans="1:24">
      <c r="B21" s="67">
        <f>SUM(B9:B16)</f>
        <v>-716714605</v>
      </c>
      <c r="C21" s="66"/>
      <c r="D21" s="67">
        <f>SUM(D9:D16)</f>
        <v>-208254148</v>
      </c>
      <c r="F21" s="67">
        <f>SUM(F9:F16)</f>
        <v>-166279620</v>
      </c>
      <c r="H21" s="67">
        <f>SUM(H9:H16)</f>
        <v>740716649</v>
      </c>
      <c r="J21" s="67">
        <f>SUM(J9:J17)</f>
        <v>-3521129416</v>
      </c>
      <c r="L21" s="84">
        <f>SUM(L9:L18)</f>
        <v>3444885678</v>
      </c>
      <c r="M21" s="84"/>
      <c r="N21" s="84">
        <f>SUM(N9:N18)</f>
        <v>-432039832.80000001</v>
      </c>
      <c r="O21" s="84"/>
      <c r="P21" s="66"/>
      <c r="Q21" s="13">
        <f>SUM(Q9:Q19)</f>
        <v>-966825253.00000012</v>
      </c>
    </row>
    <row r="23" spans="1:24">
      <c r="D23" s="13"/>
    </row>
    <row r="24" spans="1:24">
      <c r="D24" s="13"/>
    </row>
    <row r="25" spans="1:24" ht="19.5">
      <c r="A25" s="62" t="s">
        <v>84</v>
      </c>
    </row>
    <row r="26" spans="1:24" ht="19.5">
      <c r="A26" s="62"/>
    </row>
    <row r="27" spans="1:24">
      <c r="B27">
        <v>4.9000000000000004</v>
      </c>
      <c r="D27">
        <v>4.8</v>
      </c>
      <c r="F27">
        <v>4.8</v>
      </c>
      <c r="H27">
        <v>4.7</v>
      </c>
      <c r="J27">
        <v>4.5999999999999996</v>
      </c>
      <c r="L27">
        <v>4.5999999999999996</v>
      </c>
      <c r="N27">
        <v>4.4000000000000004</v>
      </c>
      <c r="Q27" s="48" t="s">
        <v>85</v>
      </c>
    </row>
    <row r="28" spans="1:24" ht="30">
      <c r="B28" s="63">
        <v>2017</v>
      </c>
      <c r="C28" s="5"/>
      <c r="D28" s="63">
        <v>2018</v>
      </c>
      <c r="F28" s="63">
        <v>2019</v>
      </c>
      <c r="H28" s="63">
        <v>2020</v>
      </c>
      <c r="I28" s="5"/>
      <c r="J28" s="5">
        <v>2021</v>
      </c>
      <c r="K28" s="5"/>
      <c r="L28" s="5">
        <v>2022</v>
      </c>
      <c r="M28" s="5"/>
      <c r="N28" s="5">
        <v>2023</v>
      </c>
      <c r="O28" s="5"/>
      <c r="P28" s="5"/>
      <c r="Q28" s="86" t="s">
        <v>82</v>
      </c>
    </row>
    <row r="29" spans="1:24">
      <c r="B29" s="79">
        <v>273580592</v>
      </c>
      <c r="C29" s="5"/>
      <c r="D29" s="79">
        <v>-38113799</v>
      </c>
      <c r="F29" s="65">
        <v>-105480176</v>
      </c>
      <c r="H29" s="65">
        <v>166634457</v>
      </c>
      <c r="J29" s="65">
        <v>26369372</v>
      </c>
      <c r="L29" s="65">
        <v>457371784</v>
      </c>
      <c r="M29" s="66"/>
      <c r="N29" s="65">
        <v>506681792</v>
      </c>
      <c r="O29" s="66"/>
      <c r="P29" s="66"/>
      <c r="Q29" s="5"/>
    </row>
    <row r="30" spans="1:24">
      <c r="A30">
        <v>2017</v>
      </c>
      <c r="B30" s="67">
        <f t="shared" ref="B30:B33" si="9">$B$29/$B$27</f>
        <v>55832773.877551019</v>
      </c>
      <c r="C30" s="68">
        <f>B29-B30</f>
        <v>217747818.12244898</v>
      </c>
      <c r="D30" s="67"/>
      <c r="E30" s="59"/>
      <c r="F30" s="69"/>
      <c r="H30" s="67"/>
      <c r="J30" s="84"/>
      <c r="L30" s="84"/>
      <c r="M30" s="84"/>
      <c r="N30" s="84"/>
      <c r="O30" s="84"/>
      <c r="P30" s="66"/>
      <c r="Q30" s="13">
        <f t="shared" ref="Q30" si="10">+B30+D30</f>
        <v>55832773.877551019</v>
      </c>
      <c r="S30" s="13">
        <f>+C30+E30</f>
        <v>217747818.12244898</v>
      </c>
      <c r="X30" s="13"/>
    </row>
    <row r="31" spans="1:24">
      <c r="A31">
        <f>+A30+1</f>
        <v>2018</v>
      </c>
      <c r="B31" s="67">
        <f t="shared" si="9"/>
        <v>55832773.877551019</v>
      </c>
      <c r="C31" s="68">
        <f t="shared" ref="C31:C34" si="11">+C30-B31</f>
        <v>161915044.24489796</v>
      </c>
      <c r="D31" s="93">
        <f t="shared" ref="D31:D34" si="12">$D$29/$D$27</f>
        <v>-7940374.791666667</v>
      </c>
      <c r="E31" s="59">
        <f>+D29-D31</f>
        <v>-30173424.208333332</v>
      </c>
      <c r="F31" s="94"/>
      <c r="G31" s="59"/>
      <c r="H31" s="67"/>
      <c r="J31" s="84"/>
      <c r="L31" s="84"/>
      <c r="M31" s="84"/>
      <c r="N31" s="84"/>
      <c r="O31" s="84"/>
      <c r="P31" s="66"/>
      <c r="Q31" s="13">
        <f>+B31+D31+F31</f>
        <v>47892399.085884355</v>
      </c>
      <c r="S31" s="13">
        <f>+C31+E31+G31</f>
        <v>131741620.03656463</v>
      </c>
    </row>
    <row r="32" spans="1:24">
      <c r="A32">
        <f t="shared" ref="A32:A39" si="13">+A31+1</f>
        <v>2019</v>
      </c>
      <c r="B32" s="67">
        <f t="shared" si="9"/>
        <v>55832773.877551019</v>
      </c>
      <c r="C32" s="68">
        <f t="shared" si="11"/>
        <v>106082270.36734694</v>
      </c>
      <c r="D32" s="93">
        <f t="shared" si="12"/>
        <v>-7940374.791666667</v>
      </c>
      <c r="E32" s="59">
        <f t="shared" ref="E32:E35" si="14">+E31-D32</f>
        <v>-22233049.416666664</v>
      </c>
      <c r="F32" s="94">
        <f>$F$29/$F$27</f>
        <v>-21975036.666666668</v>
      </c>
      <c r="G32" s="59">
        <f>+F29-F32</f>
        <v>-83505139.333333328</v>
      </c>
      <c r="H32" s="104"/>
      <c r="I32" s="59"/>
      <c r="J32" s="94"/>
      <c r="K32" s="59"/>
      <c r="L32" s="84"/>
      <c r="M32" s="84"/>
      <c r="N32" s="84"/>
      <c r="O32" s="84"/>
      <c r="P32" s="66"/>
      <c r="Q32" s="13">
        <f>+B32+D32+F32+H32</f>
        <v>25917362.419217687</v>
      </c>
      <c r="S32" s="13">
        <f>+C32+E32+G32+K32</f>
        <v>344081.61734695733</v>
      </c>
    </row>
    <row r="33" spans="1:19">
      <c r="A33">
        <f t="shared" si="13"/>
        <v>2020</v>
      </c>
      <c r="B33" s="93">
        <f t="shared" si="9"/>
        <v>55832773.877551019</v>
      </c>
      <c r="C33" s="68">
        <f t="shared" si="11"/>
        <v>50249496.489795923</v>
      </c>
      <c r="D33" s="93">
        <f t="shared" si="12"/>
        <v>-7940374.791666667</v>
      </c>
      <c r="E33" s="59">
        <f t="shared" si="14"/>
        <v>-14292674.624999996</v>
      </c>
      <c r="F33" s="94">
        <f>$F$29/$F$27</f>
        <v>-21975036.666666668</v>
      </c>
      <c r="G33" s="59">
        <f t="shared" ref="G33:G36" si="15">+G32-F33</f>
        <v>-61530102.666666657</v>
      </c>
      <c r="H33" s="59">
        <f t="shared" ref="H33:H36" si="16">$H$29/$H$27</f>
        <v>35454139.787234038</v>
      </c>
      <c r="I33" s="59">
        <f>+H29-H33</f>
        <v>131180317.21276596</v>
      </c>
      <c r="J33" s="59"/>
      <c r="K33" s="59"/>
      <c r="L33" s="104"/>
      <c r="M33" s="104"/>
      <c r="N33" s="104"/>
      <c r="O33" s="104"/>
      <c r="P33" s="80"/>
      <c r="Q33" s="13">
        <f>+B33+D33+F33+H33+J33</f>
        <v>61371502.206451729</v>
      </c>
      <c r="S33" s="13">
        <f>+C33+E33+G33+I33+K33</f>
        <v>105607036.41089523</v>
      </c>
    </row>
    <row r="34" spans="1:19">
      <c r="A34">
        <f t="shared" si="13"/>
        <v>2021</v>
      </c>
      <c r="B34" s="93">
        <f>+B29-SUM(B30:B33)</f>
        <v>50249496.489795923</v>
      </c>
      <c r="C34" s="68">
        <f t="shared" si="11"/>
        <v>0</v>
      </c>
      <c r="D34" s="107">
        <f t="shared" si="12"/>
        <v>-7940374.791666667</v>
      </c>
      <c r="E34" s="59">
        <f t="shared" si="14"/>
        <v>-6352299.8333333293</v>
      </c>
      <c r="F34" s="94">
        <f>$F$29/$F$27</f>
        <v>-21975036.666666668</v>
      </c>
      <c r="G34" s="59">
        <f t="shared" si="15"/>
        <v>-39555065.999999985</v>
      </c>
      <c r="H34" s="59">
        <f t="shared" si="16"/>
        <v>35454139.787234038</v>
      </c>
      <c r="I34" s="59">
        <f>I33-H34</f>
        <v>95726177.425531924</v>
      </c>
      <c r="J34" s="59">
        <f t="shared" ref="J34:J37" si="17">$J$29/$J$27</f>
        <v>5732472.1739130439</v>
      </c>
      <c r="K34" s="59">
        <f>+J29-J34</f>
        <v>20636899.826086957</v>
      </c>
      <c r="L34" s="59"/>
      <c r="M34" s="104"/>
      <c r="N34" s="59"/>
      <c r="O34" s="104"/>
      <c r="P34" s="80"/>
      <c r="Q34" s="13">
        <f>+B34+D34+F34+H34+J34+L34</f>
        <v>61520696.99260968</v>
      </c>
      <c r="S34" s="13">
        <f>+E34+G34+I34+K34+M34+C34</f>
        <v>70455711.418285564</v>
      </c>
    </row>
    <row r="35" spans="1:19">
      <c r="A35">
        <f t="shared" si="13"/>
        <v>2022</v>
      </c>
      <c r="B35" s="74"/>
      <c r="C35" s="70"/>
      <c r="D35" s="74">
        <f>D29-SUM(D30:D34)</f>
        <v>-6352299.8333333321</v>
      </c>
      <c r="E35" s="68">
        <f t="shared" si="14"/>
        <v>0</v>
      </c>
      <c r="F35" s="94">
        <f>$F$29/$F$27</f>
        <v>-21975036.666666668</v>
      </c>
      <c r="G35" s="68">
        <f t="shared" si="15"/>
        <v>-17580029.333333317</v>
      </c>
      <c r="H35" s="59">
        <f t="shared" si="16"/>
        <v>35454139.787234038</v>
      </c>
      <c r="I35" s="68">
        <f t="shared" ref="I35:I36" si="18">I34-H35</f>
        <v>60272037.638297886</v>
      </c>
      <c r="J35" s="59">
        <f t="shared" si="17"/>
        <v>5732472.1739130439</v>
      </c>
      <c r="K35" s="68">
        <f t="shared" ref="K35:K38" si="19">+K34-J35</f>
        <v>14904427.652173914</v>
      </c>
      <c r="L35" s="59">
        <f>$L$29/$L$27</f>
        <v>99428648.695652187</v>
      </c>
      <c r="M35" s="68">
        <f>+L29-L35</f>
        <v>357943135.30434781</v>
      </c>
      <c r="N35" s="59"/>
      <c r="O35" s="70"/>
      <c r="P35" s="80"/>
      <c r="Q35" s="147">
        <f>+D35+F35+H35+J35+L35+B35</f>
        <v>112287924.15679927</v>
      </c>
      <c r="R35" s="148"/>
      <c r="S35" s="147">
        <f>+I35+K35+M35+G35</f>
        <v>415539571.26148629</v>
      </c>
    </row>
    <row r="36" spans="1:19">
      <c r="A36">
        <f t="shared" si="13"/>
        <v>2023</v>
      </c>
      <c r="F36" s="84">
        <f>+F29-SUM(F31:F35)</f>
        <v>-17580029.333333328</v>
      </c>
      <c r="G36" s="71">
        <f t="shared" si="15"/>
        <v>0</v>
      </c>
      <c r="H36" s="59">
        <f t="shared" si="16"/>
        <v>35454139.787234038</v>
      </c>
      <c r="I36" s="71">
        <f t="shared" si="18"/>
        <v>24817897.851063848</v>
      </c>
      <c r="J36" s="59">
        <f t="shared" si="17"/>
        <v>5732472.1739130439</v>
      </c>
      <c r="K36" s="71">
        <f t="shared" si="19"/>
        <v>9171955.478260871</v>
      </c>
      <c r="L36" s="59">
        <f t="shared" ref="L36:L38" si="20">$L$29/$L$27</f>
        <v>99428648.695652187</v>
      </c>
      <c r="M36" s="71">
        <f t="shared" ref="M36:M39" si="21">+M35-L36</f>
        <v>258514486.60869563</v>
      </c>
      <c r="N36" s="142">
        <f>$N$29/$N$27</f>
        <v>115154952.72727272</v>
      </c>
      <c r="O36" s="71">
        <f>N29-N36</f>
        <v>391526839.27272725</v>
      </c>
      <c r="P36" s="80"/>
      <c r="Q36" s="72">
        <f>+H36+J36+L36+F36+N36</f>
        <v>238190184.05073863</v>
      </c>
      <c r="S36" s="73">
        <f>+K36+M36+I36+O36</f>
        <v>684031179.2107476</v>
      </c>
    </row>
    <row r="37" spans="1:19">
      <c r="A37">
        <f t="shared" si="13"/>
        <v>2024</v>
      </c>
      <c r="B37" s="67"/>
      <c r="C37" s="66"/>
      <c r="D37" s="67"/>
      <c r="F37" s="69"/>
      <c r="H37" s="59">
        <f>+H29-SUM(H31:H36)</f>
        <v>24817897.851063848</v>
      </c>
      <c r="I37" s="59">
        <f>I36-H37</f>
        <v>0</v>
      </c>
      <c r="J37" s="59">
        <f t="shared" si="17"/>
        <v>5732472.1739130439</v>
      </c>
      <c r="K37" s="13">
        <f t="shared" si="19"/>
        <v>3439483.3043478271</v>
      </c>
      <c r="L37" s="59">
        <f t="shared" si="20"/>
        <v>99428648.695652187</v>
      </c>
      <c r="M37" s="13">
        <f t="shared" si="21"/>
        <v>159085837.91304344</v>
      </c>
      <c r="N37" s="142">
        <f t="shared" ref="N37:N39" si="22">$N$29/$N$27</f>
        <v>115154952.72727272</v>
      </c>
      <c r="O37" s="13">
        <f>O36-N37</f>
        <v>276371886.5454545</v>
      </c>
      <c r="P37" s="80"/>
      <c r="Q37" s="13">
        <f>+J37+L37+H37+N37</f>
        <v>245133971.44790179</v>
      </c>
      <c r="S37" s="13">
        <f>+C37+E37+G37+I37+K37+M37+O37</f>
        <v>438897207.76284575</v>
      </c>
    </row>
    <row r="38" spans="1:19">
      <c r="A38">
        <f t="shared" si="13"/>
        <v>2025</v>
      </c>
      <c r="D38" s="13"/>
      <c r="F38" s="78"/>
      <c r="H38" s="74"/>
      <c r="J38" s="66">
        <f>J29-SUM(J33:J37)</f>
        <v>3439483.3043478243</v>
      </c>
      <c r="K38" s="13">
        <f t="shared" si="19"/>
        <v>0</v>
      </c>
      <c r="L38" s="59">
        <f t="shared" si="20"/>
        <v>99428648.695652187</v>
      </c>
      <c r="M38" s="13">
        <f t="shared" si="21"/>
        <v>59657189.217391253</v>
      </c>
      <c r="N38" s="142">
        <f t="shared" si="22"/>
        <v>115154952.72727272</v>
      </c>
      <c r="O38" s="13">
        <f t="shared" ref="O38:O40" si="23">O37-N38</f>
        <v>161216933.81818178</v>
      </c>
      <c r="P38" s="66"/>
      <c r="Q38" s="13">
        <f>+L38+J38+N38</f>
        <v>218023084.72727275</v>
      </c>
      <c r="S38" s="13">
        <f>+K38+M38+O38</f>
        <v>220874123.03557304</v>
      </c>
    </row>
    <row r="39" spans="1:19">
      <c r="A39">
        <f t="shared" si="13"/>
        <v>2026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0">
        <f>L29-SUM(L34:L38)</f>
        <v>59657189.217391253</v>
      </c>
      <c r="M39" s="140">
        <f t="shared" si="21"/>
        <v>0</v>
      </c>
      <c r="N39" s="142">
        <f t="shared" si="22"/>
        <v>115154952.72727272</v>
      </c>
      <c r="O39" s="13">
        <f t="shared" si="23"/>
        <v>46061981.090909064</v>
      </c>
      <c r="P39" s="66"/>
      <c r="Q39" s="144">
        <f>+L39+N39</f>
        <v>174812141.94466397</v>
      </c>
      <c r="S39" s="13">
        <f>O39</f>
        <v>46061981.090909064</v>
      </c>
    </row>
    <row r="40" spans="1:19">
      <c r="A40">
        <v>2027</v>
      </c>
      <c r="B40" s="3"/>
      <c r="D40" s="3"/>
      <c r="F40" s="3"/>
      <c r="H40" s="3"/>
      <c r="J40" s="3"/>
      <c r="L40" s="77"/>
      <c r="M40" s="13"/>
      <c r="N40" s="143">
        <f>N29-SUM(N36:N39)</f>
        <v>46061981.090909123</v>
      </c>
      <c r="O40" s="140">
        <f t="shared" si="23"/>
        <v>-5.9604644775390625E-8</v>
      </c>
      <c r="P40" s="66"/>
      <c r="Q40" s="108">
        <f>N40</f>
        <v>46061981.090909123</v>
      </c>
      <c r="S40" s="13">
        <f>O40</f>
        <v>-5.9604644775390625E-8</v>
      </c>
    </row>
    <row r="41" spans="1:19">
      <c r="B41" s="67">
        <f>SUM(B30:B38)</f>
        <v>273580592</v>
      </c>
      <c r="C41" s="66"/>
      <c r="D41" s="67">
        <f>SUM(D30:D38)</f>
        <v>-38113799</v>
      </c>
      <c r="F41" s="67">
        <f>SUM(F30:F38)</f>
        <v>-105480176</v>
      </c>
      <c r="H41" s="67">
        <f>SUM(H30:H38)</f>
        <v>166634457</v>
      </c>
      <c r="J41" s="84">
        <f>SUM(J30:J38)</f>
        <v>26369372</v>
      </c>
      <c r="L41" s="67">
        <f>SUM(L30:L39)</f>
        <v>457371784</v>
      </c>
      <c r="M41" s="67"/>
      <c r="N41" s="67">
        <f>SUM(N30:N39)</f>
        <v>460619810.90909088</v>
      </c>
      <c r="O41" s="67"/>
      <c r="P41" s="66"/>
      <c r="Q41" s="13">
        <f>SUM(Q30:Q40)</f>
        <v>1287044022</v>
      </c>
    </row>
    <row r="42" spans="1:19">
      <c r="B42" s="67"/>
      <c r="C42" s="66"/>
      <c r="D42" s="67"/>
      <c r="F42" s="67"/>
      <c r="H42" s="67"/>
      <c r="J42" s="84"/>
      <c r="L42" s="67"/>
      <c r="M42" s="67"/>
      <c r="N42" s="67"/>
      <c r="O42" s="67"/>
      <c r="P42" s="66"/>
      <c r="Q42" s="13"/>
    </row>
    <row r="43" spans="1:19">
      <c r="B43" s="67"/>
      <c r="C43" s="66"/>
      <c r="D43" s="67"/>
      <c r="F43" s="67"/>
      <c r="H43" s="67"/>
      <c r="J43" s="84"/>
      <c r="L43" s="67"/>
      <c r="M43" s="67"/>
      <c r="N43" s="67"/>
      <c r="O43" s="67"/>
      <c r="P43" s="66"/>
    </row>
    <row r="44" spans="1:19">
      <c r="B44" s="67"/>
      <c r="C44" s="66"/>
      <c r="D44" s="67"/>
      <c r="F44" s="67"/>
      <c r="H44" s="67"/>
      <c r="J44" s="84"/>
      <c r="L44" s="67"/>
      <c r="M44" s="67"/>
      <c r="N44" s="67"/>
      <c r="O44" s="67"/>
      <c r="P44" s="66"/>
    </row>
    <row r="45" spans="1:19" ht="19.5">
      <c r="A45" s="62" t="s">
        <v>86</v>
      </c>
    </row>
    <row r="46" spans="1:19">
      <c r="B46">
        <v>4.9000000000000004</v>
      </c>
      <c r="D46">
        <v>4.8</v>
      </c>
      <c r="F46">
        <v>4.8</v>
      </c>
      <c r="H46">
        <v>4.8</v>
      </c>
      <c r="J46">
        <v>4.5999999999999996</v>
      </c>
      <c r="L46">
        <v>4.5999999999999996</v>
      </c>
      <c r="N46">
        <v>4.5999999999999996</v>
      </c>
      <c r="Q46" s="48" t="s">
        <v>85</v>
      </c>
    </row>
    <row r="47" spans="1:19" ht="30">
      <c r="B47" s="63">
        <v>2017</v>
      </c>
      <c r="C47" s="5"/>
      <c r="D47" s="63">
        <v>2018</v>
      </c>
      <c r="F47" s="63">
        <v>2019</v>
      </c>
      <c r="H47" s="63">
        <v>2020</v>
      </c>
      <c r="I47" s="5"/>
      <c r="J47" s="5">
        <v>2021</v>
      </c>
      <c r="K47" s="5"/>
      <c r="L47" s="5">
        <v>2022</v>
      </c>
      <c r="M47" s="5"/>
      <c r="N47" s="5">
        <v>2022</v>
      </c>
      <c r="O47" s="5"/>
      <c r="P47" s="5"/>
      <c r="Q47" s="86" t="s">
        <v>82</v>
      </c>
    </row>
    <row r="48" spans="1:19">
      <c r="B48" s="81">
        <v>0</v>
      </c>
      <c r="C48" s="4"/>
      <c r="D48" s="65">
        <v>104724103</v>
      </c>
      <c r="F48" s="65">
        <v>0</v>
      </c>
      <c r="H48" s="65">
        <v>0</v>
      </c>
      <c r="J48" s="65">
        <v>1136086143</v>
      </c>
      <c r="L48" s="65">
        <v>0</v>
      </c>
      <c r="M48" s="66"/>
      <c r="N48" s="65">
        <v>0</v>
      </c>
      <c r="O48" s="66"/>
      <c r="P48" s="66"/>
      <c r="Q48" s="5"/>
    </row>
    <row r="49" spans="1:19">
      <c r="A49">
        <v>2017</v>
      </c>
      <c r="B49" s="67">
        <f>$B$48/$B$46</f>
        <v>0</v>
      </c>
      <c r="C49" s="66">
        <f>+B48-B49</f>
        <v>0</v>
      </c>
      <c r="Q49" s="13">
        <f t="shared" ref="Q49:Q50" si="24">+B49+D49</f>
        <v>0</v>
      </c>
    </row>
    <row r="50" spans="1:19">
      <c r="A50">
        <f>A49+1</f>
        <v>2018</v>
      </c>
      <c r="B50" s="67">
        <f t="shared" ref="B50:B52" si="25">$B$48/$B$46</f>
        <v>0</v>
      </c>
      <c r="C50" s="68">
        <f>+C49-B50</f>
        <v>0</v>
      </c>
      <c r="D50" s="84">
        <f>+D48/D46</f>
        <v>21817521.458333336</v>
      </c>
      <c r="E50" s="13">
        <f>+D48-D50</f>
        <v>82906581.541666657</v>
      </c>
      <c r="F50" s="85"/>
      <c r="H50" s="67"/>
      <c r="J50" s="84"/>
      <c r="L50" s="84"/>
      <c r="M50" s="84"/>
      <c r="N50" s="84"/>
      <c r="O50" s="84"/>
      <c r="P50" s="66"/>
      <c r="Q50" s="13">
        <f t="shared" si="24"/>
        <v>21817521.458333336</v>
      </c>
      <c r="S50" s="13">
        <f>+C50+E50</f>
        <v>82906581.541666657</v>
      </c>
    </row>
    <row r="51" spans="1:19">
      <c r="A51">
        <f t="shared" ref="A51:A58" si="26">A50+1</f>
        <v>2019</v>
      </c>
      <c r="B51" s="67">
        <f t="shared" si="25"/>
        <v>0</v>
      </c>
      <c r="C51" s="68">
        <f t="shared" ref="C51:C53" si="27">+C50-B51</f>
        <v>0</v>
      </c>
      <c r="D51" s="84">
        <f>+D48/D46</f>
        <v>21817521.458333336</v>
      </c>
      <c r="E51" s="13">
        <f>+E50-D51</f>
        <v>61089060.083333321</v>
      </c>
      <c r="F51" s="84">
        <f>$F$48/$F$46</f>
        <v>0</v>
      </c>
      <c r="G51" s="59">
        <f>+F48-F51</f>
        <v>0</v>
      </c>
      <c r="H51" s="67"/>
      <c r="J51" s="84"/>
      <c r="L51" s="84"/>
      <c r="M51" s="84"/>
      <c r="N51" s="84"/>
      <c r="O51" s="84"/>
      <c r="P51" s="66"/>
      <c r="Q51" s="13">
        <f>+B51+D51+F51</f>
        <v>21817521.458333336</v>
      </c>
      <c r="S51" s="13">
        <f>+C51+E51+G51</f>
        <v>61089060.083333321</v>
      </c>
    </row>
    <row r="52" spans="1:19">
      <c r="A52">
        <f t="shared" si="26"/>
        <v>2020</v>
      </c>
      <c r="B52" s="67">
        <f t="shared" si="25"/>
        <v>0</v>
      </c>
      <c r="C52" s="68">
        <f t="shared" si="27"/>
        <v>0</v>
      </c>
      <c r="D52" s="84">
        <f>+D48/D46</f>
        <v>21817521.458333336</v>
      </c>
      <c r="E52" s="13">
        <f t="shared" ref="E52:E54" si="28">+E51-D52</f>
        <v>39271538.624999985</v>
      </c>
      <c r="F52" s="94">
        <f t="shared" ref="F52:F54" si="29">$F$48/$F$46</f>
        <v>0</v>
      </c>
      <c r="G52" s="59">
        <f>+G51-F52</f>
        <v>0</v>
      </c>
      <c r="H52" s="84">
        <f>+$H$48/$H$46</f>
        <v>0</v>
      </c>
      <c r="I52" s="13">
        <f>+H48-H52</f>
        <v>0</v>
      </c>
      <c r="J52" s="84"/>
      <c r="L52" s="84"/>
      <c r="M52" s="84"/>
      <c r="N52" s="84"/>
      <c r="O52" s="84"/>
      <c r="P52" s="66"/>
      <c r="Q52" s="13">
        <f>+B52+D52+F52+H52</f>
        <v>21817521.458333336</v>
      </c>
      <c r="S52" s="13">
        <f>+C52+E52+G52+K52+I52</f>
        <v>39271538.624999985</v>
      </c>
    </row>
    <row r="53" spans="1:19">
      <c r="A53">
        <f t="shared" si="26"/>
        <v>2021</v>
      </c>
      <c r="B53" s="67">
        <f>+B48-SUM(B49:B52)</f>
        <v>0</v>
      </c>
      <c r="C53" s="66">
        <f t="shared" si="27"/>
        <v>0</v>
      </c>
      <c r="D53" s="84">
        <f>+D48/D46</f>
        <v>21817521.458333336</v>
      </c>
      <c r="E53" s="13">
        <f t="shared" si="28"/>
        <v>17454017.166666649</v>
      </c>
      <c r="F53" s="84">
        <f t="shared" si="29"/>
        <v>0</v>
      </c>
      <c r="G53" s="13">
        <f t="shared" ref="G53:G55" si="30">+G52-F53</f>
        <v>0</v>
      </c>
      <c r="H53" s="84">
        <f t="shared" ref="H53:H55" si="31">+$H$48/$H$46</f>
        <v>0</v>
      </c>
      <c r="I53" s="13">
        <f>+I52-H53</f>
        <v>0</v>
      </c>
      <c r="J53" s="85">
        <f>+$J$48/$J$46</f>
        <v>246975248.47826087</v>
      </c>
      <c r="K53" s="23">
        <f>+J48-J53</f>
        <v>889110894.52173913</v>
      </c>
      <c r="L53" s="85"/>
      <c r="M53" s="85"/>
      <c r="N53" s="85"/>
      <c r="O53" s="85"/>
      <c r="P53" s="80"/>
      <c r="Q53" s="13">
        <f>+B53+D53+F53+H53+J53</f>
        <v>268792769.93659419</v>
      </c>
      <c r="S53" s="13">
        <f>+C53+E53+G53+I53+K53</f>
        <v>906564911.68840575</v>
      </c>
    </row>
    <row r="54" spans="1:19">
      <c r="A54">
        <f t="shared" si="26"/>
        <v>2022</v>
      </c>
      <c r="B54" s="74"/>
      <c r="C54" s="71"/>
      <c r="D54" s="13">
        <f>+D48-SUM(D50:D53)</f>
        <v>17454017.166666657</v>
      </c>
      <c r="E54" s="59">
        <f t="shared" si="28"/>
        <v>0</v>
      </c>
      <c r="F54" s="94">
        <f t="shared" si="29"/>
        <v>0</v>
      </c>
      <c r="G54" s="59">
        <f t="shared" si="30"/>
        <v>0</v>
      </c>
      <c r="H54" s="94">
        <f t="shared" si="31"/>
        <v>0</v>
      </c>
      <c r="I54" s="59">
        <f t="shared" ref="I54:I56" si="32">+I53-H54</f>
        <v>0</v>
      </c>
      <c r="J54" s="104">
        <f t="shared" ref="J54:J56" si="33">+$J$48/$J$46</f>
        <v>246975248.47826087</v>
      </c>
      <c r="K54" s="145">
        <f>+K53-J54</f>
        <v>642135646.04347825</v>
      </c>
      <c r="L54" s="104">
        <f>$L$48/$L$46</f>
        <v>0</v>
      </c>
      <c r="M54" s="104">
        <f>+$L$48-L54</f>
        <v>0</v>
      </c>
      <c r="P54" s="80"/>
      <c r="Q54" s="147">
        <f>+B54+D54+F54+H54+J54+L54</f>
        <v>264429265.64492753</v>
      </c>
      <c r="R54" s="148"/>
      <c r="S54" s="147">
        <f>G54+I54+K54+M54</f>
        <v>642135646.04347825</v>
      </c>
    </row>
    <row r="55" spans="1:19">
      <c r="A55">
        <f t="shared" si="26"/>
        <v>2023</v>
      </c>
      <c r="B55" s="74"/>
      <c r="C55" s="66"/>
      <c r="F55" s="84">
        <f>+F48-SUM(F51:F54)</f>
        <v>0</v>
      </c>
      <c r="G55" s="71">
        <f t="shared" si="30"/>
        <v>0</v>
      </c>
      <c r="H55" s="84">
        <f t="shared" si="31"/>
        <v>0</v>
      </c>
      <c r="I55" s="71">
        <f t="shared" si="32"/>
        <v>0</v>
      </c>
      <c r="J55" s="85">
        <f t="shared" si="33"/>
        <v>246975248.47826087</v>
      </c>
      <c r="K55" s="106">
        <f t="shared" ref="K55:K57" si="34">+K54-J55</f>
        <v>395160397.56521738</v>
      </c>
      <c r="L55" s="85">
        <f t="shared" ref="L55:L57" si="35">$L$48/$L$46</f>
        <v>0</v>
      </c>
      <c r="M55" s="109">
        <f>+M54-L55</f>
        <v>0</v>
      </c>
      <c r="N55" s="80">
        <f>$N$48/$N$46</f>
        <v>0</v>
      </c>
      <c r="O55" s="109">
        <f>N48-N55</f>
        <v>0</v>
      </c>
      <c r="P55" s="80"/>
      <c r="Q55" s="72">
        <f>F55+H55+J55+L55+N55</f>
        <v>246975248.47826087</v>
      </c>
      <c r="S55" s="73">
        <f>K55+M55+O55</f>
        <v>395160397.56521738</v>
      </c>
    </row>
    <row r="56" spans="1:19">
      <c r="A56">
        <f t="shared" si="26"/>
        <v>2024</v>
      </c>
      <c r="B56" s="74"/>
      <c r="C56" s="66"/>
      <c r="F56" s="66"/>
      <c r="H56" s="84">
        <f>+H48-SUM(H52:H55)</f>
        <v>0</v>
      </c>
      <c r="I56" s="13">
        <f t="shared" si="32"/>
        <v>0</v>
      </c>
      <c r="J56" s="85">
        <f t="shared" si="33"/>
        <v>246975248.47826087</v>
      </c>
      <c r="K56" s="23">
        <f t="shared" si="34"/>
        <v>148185149.0869565</v>
      </c>
      <c r="L56" s="85">
        <f t="shared" si="35"/>
        <v>0</v>
      </c>
      <c r="M56" s="85">
        <f t="shared" ref="M56:M58" si="36">+M55-L56</f>
        <v>0</v>
      </c>
      <c r="N56" s="80">
        <f t="shared" ref="N56:N58" si="37">$N$48/$N$46</f>
        <v>0</v>
      </c>
      <c r="O56" s="85">
        <f>O55-N56</f>
        <v>0</v>
      </c>
      <c r="P56" s="80"/>
      <c r="Q56" s="13">
        <f>J56+L56+H56+N56</f>
        <v>246975248.47826087</v>
      </c>
      <c r="S56" s="13">
        <f>K56+M56+O56</f>
        <v>148185149.0869565</v>
      </c>
    </row>
    <row r="57" spans="1:19">
      <c r="A57">
        <f t="shared" si="26"/>
        <v>2025</v>
      </c>
      <c r="B57" s="74"/>
      <c r="C57" s="66"/>
      <c r="F57" s="85"/>
      <c r="H57" s="66"/>
      <c r="J57" s="85">
        <f>+J48-SUM(J53:J56)</f>
        <v>148185149.0869565</v>
      </c>
      <c r="K57" s="23">
        <f t="shared" si="34"/>
        <v>0</v>
      </c>
      <c r="L57" s="85">
        <f t="shared" si="35"/>
        <v>0</v>
      </c>
      <c r="M57" s="85">
        <f t="shared" si="36"/>
        <v>0</v>
      </c>
      <c r="N57" s="80">
        <f t="shared" si="37"/>
        <v>0</v>
      </c>
      <c r="O57" s="85">
        <f t="shared" ref="O57:O59" si="38">O56-N57</f>
        <v>0</v>
      </c>
      <c r="P57" s="80"/>
      <c r="Q57" s="13">
        <f>+J57+L57+N57</f>
        <v>148185149.0869565</v>
      </c>
      <c r="S57" s="13">
        <f>K57+M57+O57</f>
        <v>0</v>
      </c>
    </row>
    <row r="58" spans="1:19">
      <c r="A58">
        <f t="shared" si="26"/>
        <v>2026</v>
      </c>
      <c r="B58" s="74"/>
      <c r="C58" s="66"/>
      <c r="D58" s="141"/>
      <c r="E58" s="141"/>
      <c r="F58" s="78"/>
      <c r="G58" s="141"/>
      <c r="H58" s="74"/>
      <c r="I58" s="141"/>
      <c r="J58" s="66"/>
      <c r="K58" s="141"/>
      <c r="L58" s="66">
        <f>L48-SUM(L53:L57)</f>
        <v>0</v>
      </c>
      <c r="M58" s="80">
        <f t="shared" si="36"/>
        <v>0</v>
      </c>
      <c r="N58" s="80">
        <f t="shared" si="37"/>
        <v>0</v>
      </c>
      <c r="O58" s="85">
        <f t="shared" si="38"/>
        <v>0</v>
      </c>
      <c r="P58" s="66"/>
      <c r="Q58" s="140">
        <f>+L58+N58</f>
        <v>0</v>
      </c>
      <c r="S58" s="13">
        <f>M58+O58</f>
        <v>0</v>
      </c>
    </row>
    <row r="59" spans="1:19">
      <c r="A59">
        <v>2027</v>
      </c>
      <c r="B59" s="75"/>
      <c r="C59" s="66"/>
      <c r="D59" s="3"/>
      <c r="F59" s="76"/>
      <c r="H59" s="75"/>
      <c r="J59" s="103"/>
      <c r="L59" s="103"/>
      <c r="M59" s="85"/>
      <c r="N59" s="146">
        <f>N48-SUM(N55:N58)</f>
        <v>0</v>
      </c>
      <c r="O59" s="85">
        <f t="shared" si="38"/>
        <v>0</v>
      </c>
      <c r="P59" s="66"/>
      <c r="Q59" s="77">
        <f>N59</f>
        <v>0</v>
      </c>
      <c r="S59" s="13">
        <f>O59</f>
        <v>0</v>
      </c>
    </row>
    <row r="60" spans="1:19">
      <c r="B60" s="67">
        <f>SUM(B49:B58)</f>
        <v>0</v>
      </c>
      <c r="C60" s="66"/>
      <c r="D60" s="67">
        <f>SUM(D49:D58)</f>
        <v>104724103</v>
      </c>
      <c r="F60" s="67">
        <f>SUM(F49:F58)</f>
        <v>0</v>
      </c>
      <c r="H60" s="67">
        <f>SUM(H49:H58)</f>
        <v>0</v>
      </c>
      <c r="J60" s="67">
        <f>SUM(J49:J58)</f>
        <v>1136086143</v>
      </c>
      <c r="L60" s="67">
        <f>SUM(L49:L58)</f>
        <v>0</v>
      </c>
      <c r="M60" s="67"/>
      <c r="N60" s="67">
        <f>SUM(N49:N59)</f>
        <v>0</v>
      </c>
      <c r="O60" s="67"/>
      <c r="P60" s="66"/>
      <c r="Q60" s="13">
        <f>SUM(Q49:Q59)</f>
        <v>1240810246</v>
      </c>
    </row>
    <row r="62" spans="1:19">
      <c r="B62" s="74"/>
      <c r="C62" s="66"/>
      <c r="Q62" s="13"/>
    </row>
    <row r="63" spans="1:19">
      <c r="A63" t="s">
        <v>87</v>
      </c>
      <c r="S63" s="82">
        <f>+S15+S36+S55</f>
        <v>1453774714.1759648</v>
      </c>
    </row>
    <row r="64" spans="1:19">
      <c r="B64" s="13"/>
      <c r="C64" s="13"/>
    </row>
    <row r="65" spans="1:16">
      <c r="A65">
        <v>2024</v>
      </c>
      <c r="B65" s="13">
        <f>Q16+Q37+Q56</f>
        <v>516993843.92616266</v>
      </c>
      <c r="C65" s="13"/>
    </row>
    <row r="66" spans="1:16">
      <c r="A66">
        <f t="shared" ref="A66:A68" si="39">+A65+1</f>
        <v>2025</v>
      </c>
      <c r="B66" s="13">
        <f>Q17+Q38+Q57</f>
        <v>242949528.01422924</v>
      </c>
      <c r="C66" s="13"/>
    </row>
    <row r="67" spans="1:16">
      <c r="A67">
        <f t="shared" si="39"/>
        <v>2026</v>
      </c>
      <c r="B67" s="13">
        <f>Q18+Q39+Q58</f>
        <v>755779319.34466398</v>
      </c>
      <c r="C67" s="13"/>
    </row>
    <row r="68" spans="1:16">
      <c r="A68">
        <f t="shared" si="39"/>
        <v>2027</v>
      </c>
      <c r="B68" s="13">
        <f>Q19+Q40+Q59</f>
        <v>-61947977.10909088</v>
      </c>
      <c r="C68" s="13"/>
    </row>
    <row r="69" spans="1:16">
      <c r="B69" s="82">
        <f>SUM(B64:B68)</f>
        <v>1453774714.1759651</v>
      </c>
      <c r="C69" s="13"/>
      <c r="D69" s="52" t="s">
        <v>88</v>
      </c>
    </row>
    <row r="72" spans="1:16">
      <c r="A72" s="83" t="s">
        <v>89</v>
      </c>
    </row>
    <row r="73" spans="1:16">
      <c r="B73" s="63">
        <v>2017</v>
      </c>
      <c r="C73" s="5"/>
      <c r="D73" s="63">
        <v>2018</v>
      </c>
      <c r="E73" s="5"/>
      <c r="F73" s="63">
        <v>2019</v>
      </c>
      <c r="H73" s="63">
        <v>2020</v>
      </c>
      <c r="J73" s="63">
        <v>2021</v>
      </c>
      <c r="L73" s="63">
        <v>2022</v>
      </c>
      <c r="M73" s="5"/>
      <c r="N73" s="63">
        <v>2023</v>
      </c>
      <c r="O73" s="5"/>
      <c r="P73" t="s">
        <v>3</v>
      </c>
    </row>
    <row r="74" spans="1:16">
      <c r="B74" s="13"/>
      <c r="D74" s="13"/>
      <c r="F74" s="13"/>
      <c r="H74" s="13"/>
      <c r="J74" s="13"/>
      <c r="L74" s="13"/>
      <c r="M74" s="13"/>
      <c r="N74" s="13"/>
      <c r="O74" s="13"/>
    </row>
    <row r="75" spans="1:16">
      <c r="A75">
        <v>2024</v>
      </c>
      <c r="D75" s="13">
        <f>D15+D36+D56</f>
        <v>0</v>
      </c>
      <c r="F75" s="13">
        <f>F16+F37+F56</f>
        <v>0</v>
      </c>
      <c r="H75" s="13">
        <f>H16+H37+H56</f>
        <v>172961227.65106386</v>
      </c>
      <c r="J75" s="13">
        <f>J16+J37+J56</f>
        <v>-451518162.54782617</v>
      </c>
      <c r="L75" s="13">
        <f>L16+L37+L56</f>
        <v>788405784.29565215</v>
      </c>
      <c r="M75" s="13"/>
      <c r="N75" s="13">
        <f>N16+N37+N56</f>
        <v>7144994.5272727162</v>
      </c>
      <c r="O75" s="13"/>
      <c r="P75" s="13">
        <f>+B75+D75+F75+H75+J75+L75+N75</f>
        <v>516993843.92616254</v>
      </c>
    </row>
    <row r="76" spans="1:16">
      <c r="A76">
        <f t="shared" ref="A76:A78" si="40">+A75+1</f>
        <v>2025</v>
      </c>
      <c r="H76" s="13">
        <f>H17+H38+H57</f>
        <v>0</v>
      </c>
      <c r="J76" s="13">
        <f>J17+J38+J57</f>
        <v>-552601250.80869567</v>
      </c>
      <c r="L76" s="13">
        <f>L17+L38+L57</f>
        <v>788405784.29565215</v>
      </c>
      <c r="M76" s="13"/>
      <c r="N76" s="13">
        <f>N17+N38+N57</f>
        <v>7144994.5272727162</v>
      </c>
      <c r="O76" s="13"/>
      <c r="P76" s="13">
        <f>+B76+D76+F76+H76+J76+L76+N76</f>
        <v>242949528.01422918</v>
      </c>
    </row>
    <row r="77" spans="1:16">
      <c r="A77">
        <f t="shared" si="40"/>
        <v>2026</v>
      </c>
      <c r="J77" s="13">
        <f>J18+J39+J58</f>
        <v>0</v>
      </c>
      <c r="L77" s="13">
        <f>L18+L39+L58</f>
        <v>748634324.81739128</v>
      </c>
      <c r="M77" s="13"/>
      <c r="N77" s="13">
        <f>N18+N39+N58</f>
        <v>7144994.5272727162</v>
      </c>
      <c r="O77" s="13"/>
      <c r="P77" s="13">
        <f>+B77+D77+F77+H77+J77+L77+N77</f>
        <v>755779319.34466398</v>
      </c>
    </row>
    <row r="78" spans="1:16">
      <c r="A78">
        <f t="shared" si="40"/>
        <v>2027</v>
      </c>
      <c r="N78" s="13">
        <f>N59+N40+N19</f>
        <v>-61947977.10909088</v>
      </c>
      <c r="P78" s="13">
        <f>+B78+D78+F78+H78+J78+L78+N78</f>
        <v>-61947977.10909088</v>
      </c>
    </row>
    <row r="79" spans="1:16">
      <c r="P79" s="82">
        <f>SUM(P75:P78)</f>
        <v>1453774714.1759648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 Exp</vt:lpstr>
    </vt:vector>
  </TitlesOfParts>
  <Manager/>
  <Company>Eide Bailly LLP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bb6212</dc:creator>
  <cp:keywords/>
  <dc:description/>
  <cp:lastModifiedBy>Mike Anderson</cp:lastModifiedBy>
  <cp:revision/>
  <dcterms:created xsi:type="dcterms:W3CDTF">2009-09-23T16:56:24Z</dcterms:created>
  <dcterms:modified xsi:type="dcterms:W3CDTF">2024-07-23T17:45:41Z</dcterms:modified>
  <cp:category/>
  <cp:contentStatus/>
</cp:coreProperties>
</file>